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codeName="DieseArbeitsmappe" defaultThemeVersion="124226"/>
  <mc:AlternateContent xmlns:mc="http://schemas.openxmlformats.org/markup-compatibility/2006">
    <mc:Choice Requires="x15">
      <x15ac:absPath xmlns:x15ac="http://schemas.microsoft.com/office/spreadsheetml/2010/11/ac" url="H:\A_Personal\1_Personal\Sachbearbeitung allg\2024\"/>
    </mc:Choice>
  </mc:AlternateContent>
  <xr:revisionPtr revIDLastSave="0" documentId="8_{63456C9A-7725-4A72-8434-DB6B6DC052FF}" xr6:coauthVersionLast="47" xr6:coauthVersionMax="47" xr10:uidLastSave="{00000000-0000-0000-0000-000000000000}"/>
  <bookViews>
    <workbookView xWindow="3180" yWindow="60" windowWidth="21600" windowHeight="12735" tabRatio="748" firstSheet="1" activeTab="1" xr2:uid="{00000000-000D-0000-FFFF-FFFF00000000}"/>
  </bookViews>
  <sheets>
    <sheet name="Grunddaten &amp; Hinweise" sheetId="4" r:id="rId1"/>
    <sheet name="Gesamtübersicht&amp;Urlaubsanspruch" sheetId="3" r:id="rId2"/>
    <sheet name="Januar" sheetId="1" r:id="rId3"/>
    <sheet name="Februar" sheetId="2" r:id="rId4"/>
    <sheet name="März" sheetId="5" r:id="rId5"/>
    <sheet name="April" sheetId="6" r:id="rId6"/>
    <sheet name="Mai" sheetId="7" r:id="rId7"/>
    <sheet name="Juni" sheetId="8" r:id="rId8"/>
    <sheet name="Juli" sheetId="9" r:id="rId9"/>
    <sheet name="August" sheetId="10" r:id="rId10"/>
    <sheet name="September" sheetId="11" r:id="rId11"/>
    <sheet name="Oktober" sheetId="12" r:id="rId12"/>
    <sheet name="November" sheetId="13" r:id="rId13"/>
    <sheet name="Dezember" sheetId="14" r:id="rId14"/>
  </sheets>
  <definedNames>
    <definedName name="_xlnm.Print_Area" localSheetId="5">April!$A$1:$F$45</definedName>
    <definedName name="_xlnm.Print_Area" localSheetId="9">August!$A$1:$F$45</definedName>
    <definedName name="_xlnm.Print_Area" localSheetId="13">Dezember!$A$1:$F$45</definedName>
    <definedName name="_xlnm.Print_Area" localSheetId="3">Februar!$A$1:$F$45</definedName>
    <definedName name="_xlnm.Print_Area" localSheetId="1">'Gesamtübersicht&amp;Urlaubsanspruch'!$A$1:$F$36</definedName>
    <definedName name="_xlnm.Print_Area" localSheetId="0">'Grunddaten &amp; Hinweise'!$A$1:$E$32</definedName>
    <definedName name="_xlnm.Print_Area" localSheetId="2">Januar!$A$1:$F$45</definedName>
    <definedName name="_xlnm.Print_Area" localSheetId="8">Juli!$A$1:$F$45</definedName>
    <definedName name="_xlnm.Print_Area" localSheetId="7">Juni!$A$1:$F$45</definedName>
    <definedName name="_xlnm.Print_Area" localSheetId="6">Mai!$A$1:$F$45</definedName>
    <definedName name="_xlnm.Print_Area" localSheetId="4">März!$A$1:$F$45</definedName>
    <definedName name="_xlnm.Print_Area" localSheetId="12">November!$A$1:$F$45</definedName>
    <definedName name="_xlnm.Print_Area" localSheetId="11">Oktober!$A$1:$F$45</definedName>
    <definedName name="_xlnm.Print_Area" localSheetId="10">September!$A$1:$F$45</definedName>
    <definedName name="Monat">'Grunddaten &amp; Hinweise'!$O$7:$O$20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8" l="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41" i="1"/>
  <c r="E38" i="1" l="1"/>
  <c r="E40" i="1"/>
  <c r="E42" i="1" s="1"/>
  <c r="B8" i="3"/>
  <c r="B9" i="3"/>
  <c r="B10" i="3"/>
  <c r="B11" i="3"/>
  <c r="B12" i="3"/>
  <c r="B13" i="3"/>
  <c r="B14" i="3"/>
  <c r="B15" i="3"/>
  <c r="B16" i="3"/>
  <c r="B17" i="3"/>
  <c r="B18" i="3"/>
  <c r="B19" i="3"/>
  <c r="E41" i="14"/>
  <c r="E41" i="13"/>
  <c r="E41" i="12"/>
  <c r="E41" i="11"/>
  <c r="E42" i="11" s="1"/>
  <c r="E41" i="10"/>
  <c r="E42" i="10" s="1"/>
  <c r="E41" i="9"/>
  <c r="E42" i="9" s="1"/>
  <c r="E41" i="7"/>
  <c r="E42" i="7" s="1"/>
  <c r="E41" i="6"/>
  <c r="E42" i="6" s="1"/>
  <c r="E41" i="5"/>
  <c r="E42" i="5" s="1"/>
  <c r="J18" i="4" l="1"/>
  <c r="I18" i="4"/>
  <c r="I12" i="4"/>
  <c r="J12" i="4" s="1"/>
  <c r="L12" i="4" s="1"/>
  <c r="L18" i="4" l="1"/>
  <c r="A37" i="14" l="1"/>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E35" i="2"/>
  <c r="A35" i="2"/>
  <c r="A32" i="1"/>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37" i="1"/>
  <c r="A36" i="1"/>
  <c r="A35" i="1"/>
  <c r="A34" i="1"/>
  <c r="A33" i="1"/>
  <c r="A31" i="1"/>
  <c r="A30" i="1"/>
  <c r="A29" i="1"/>
  <c r="A28" i="1"/>
  <c r="A27" i="1"/>
  <c r="A26" i="1"/>
  <c r="A25" i="1"/>
  <c r="A24" i="1"/>
  <c r="A23" i="1"/>
  <c r="A22" i="1"/>
  <c r="A21" i="1"/>
  <c r="A20" i="1"/>
  <c r="A19" i="1"/>
  <c r="A18" i="1"/>
  <c r="A17" i="1"/>
  <c r="A16" i="1"/>
  <c r="A15" i="1"/>
  <c r="A14" i="1"/>
  <c r="A13" i="1"/>
  <c r="A12" i="1"/>
  <c r="A11" i="1"/>
  <c r="A10" i="1"/>
  <c r="A9" i="1"/>
  <c r="A8" i="1"/>
  <c r="A7" i="1"/>
  <c r="B5" i="3" l="1"/>
  <c r="B4" i="3" l="1"/>
  <c r="B4" i="5"/>
  <c r="B4" i="6"/>
  <c r="B4" i="7"/>
  <c r="B4" i="8"/>
  <c r="B4" i="9"/>
  <c r="B4" i="10"/>
  <c r="B4" i="11"/>
  <c r="B4" i="12"/>
  <c r="B4" i="13"/>
  <c r="B4" i="14"/>
  <c r="B4" i="2"/>
  <c r="B4" i="1"/>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E7" i="14"/>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40" i="7" s="1"/>
  <c r="C12" i="3" s="1"/>
  <c r="D12" i="3" s="1"/>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B3" i="14"/>
  <c r="B2" i="14"/>
  <c r="B1" i="14"/>
  <c r="B3" i="13"/>
  <c r="B2" i="13"/>
  <c r="B1" i="13"/>
  <c r="B3" i="12"/>
  <c r="B2" i="12"/>
  <c r="B1" i="12"/>
  <c r="B3" i="11"/>
  <c r="B2" i="11"/>
  <c r="B1" i="11"/>
  <c r="B3" i="10"/>
  <c r="B2" i="10"/>
  <c r="B1" i="10"/>
  <c r="B3" i="9"/>
  <c r="B2" i="9"/>
  <c r="B1" i="9"/>
  <c r="B3" i="8"/>
  <c r="B2" i="8"/>
  <c r="B1" i="8"/>
  <c r="B3" i="7"/>
  <c r="B2" i="7"/>
  <c r="B1" i="7"/>
  <c r="B3" i="6"/>
  <c r="B2" i="6"/>
  <c r="B1" i="6"/>
  <c r="B3" i="5"/>
  <c r="B2" i="5"/>
  <c r="B1" i="5"/>
  <c r="B3" i="2"/>
  <c r="B2" i="2"/>
  <c r="B1" i="2"/>
  <c r="B3" i="3"/>
  <c r="B2" i="3"/>
  <c r="B1" i="3"/>
  <c r="E41" i="2"/>
  <c r="E42" i="2" s="1"/>
  <c r="B3" i="1"/>
  <c r="B2" i="1"/>
  <c r="B1" i="1"/>
  <c r="B20" i="4"/>
  <c r="E40" i="14" l="1"/>
  <c r="E40" i="8"/>
  <c r="E37" i="8"/>
  <c r="E40" i="10"/>
  <c r="C15" i="3" s="1"/>
  <c r="D15" i="3" s="1"/>
  <c r="E38" i="9"/>
  <c r="E38" i="10"/>
  <c r="E38" i="12"/>
  <c r="E40" i="6"/>
  <c r="C11" i="3" s="1"/>
  <c r="D11" i="3" s="1"/>
  <c r="C13" i="3"/>
  <c r="D13" i="3" s="1"/>
  <c r="E40" i="11"/>
  <c r="C16" i="3" s="1"/>
  <c r="D16" i="3" s="1"/>
  <c r="E40" i="13"/>
  <c r="E37" i="11"/>
  <c r="E40" i="12"/>
  <c r="E37" i="6"/>
  <c r="E37" i="13"/>
  <c r="E40" i="9"/>
  <c r="C14" i="3" s="1"/>
  <c r="D14" i="3" s="1"/>
  <c r="E38" i="7"/>
  <c r="E38" i="14"/>
  <c r="E8" i="3"/>
  <c r="E19" i="3"/>
  <c r="E15" i="3"/>
  <c r="E18" i="3"/>
  <c r="E9" i="3"/>
  <c r="E17" i="3"/>
  <c r="E13" i="3"/>
  <c r="E11" i="3"/>
  <c r="E14" i="3"/>
  <c r="E10" i="3"/>
  <c r="E16" i="3"/>
  <c r="E12" i="3"/>
  <c r="E40" i="2"/>
  <c r="E36" i="2"/>
  <c r="E38" i="5"/>
  <c r="E40" i="5"/>
  <c r="C10" i="3" s="1"/>
  <c r="D10" i="3" s="1"/>
  <c r="B20" i="3"/>
  <c r="C8" i="3"/>
  <c r="C19" i="3" l="1"/>
  <c r="D19" i="3" s="1"/>
  <c r="E42" i="14"/>
  <c r="C17" i="3"/>
  <c r="D17" i="3" s="1"/>
  <c r="E42" i="12"/>
  <c r="C18" i="3"/>
  <c r="D18" i="3" s="1"/>
  <c r="E42" i="13"/>
  <c r="D8" i="3"/>
  <c r="C9" i="3"/>
  <c r="D9" i="3" s="1"/>
  <c r="E20" i="3"/>
  <c r="B21" i="3" s="1"/>
  <c r="B22" i="3" s="1"/>
  <c r="C20" i="3" l="1"/>
  <c r="D20" i="3" s="1"/>
  <c r="C22" i="3"/>
  <c r="D22" i="3" s="1"/>
  <c r="B23" i="3"/>
  <c r="B24" i="3" s="1"/>
  <c r="C23" i="3" l="1"/>
  <c r="C24" i="3" s="1"/>
  <c r="D23" i="3"/>
  <c r="D24" i="3" s="1"/>
</calcChain>
</file>

<file path=xl/sharedStrings.xml><?xml version="1.0" encoding="utf-8"?>
<sst xmlns="http://schemas.openxmlformats.org/spreadsheetml/2006/main" count="327" uniqueCount="92">
  <si>
    <t>Datum</t>
  </si>
  <si>
    <t>Pause</t>
  </si>
  <si>
    <t>Name:</t>
  </si>
  <si>
    <t>Differenz</t>
  </si>
  <si>
    <t>Geleistete
Arbeitszeit</t>
  </si>
  <si>
    <t>Organisationseinheit:</t>
  </si>
  <si>
    <t>Arbeitsgruppe:</t>
  </si>
  <si>
    <t>Januar:</t>
  </si>
  <si>
    <t>Februar:</t>
  </si>
  <si>
    <t>März:</t>
  </si>
  <si>
    <t>April:</t>
  </si>
  <si>
    <t>Mai:</t>
  </si>
  <si>
    <t>Juni:</t>
  </si>
  <si>
    <t>Juli:</t>
  </si>
  <si>
    <t>August:</t>
  </si>
  <si>
    <t>September:</t>
  </si>
  <si>
    <t>Oktober:</t>
  </si>
  <si>
    <t>November:</t>
  </si>
  <si>
    <t>Dezember:</t>
  </si>
  <si>
    <t>Gesamtstundenzahl:</t>
  </si>
  <si>
    <t>Vertraglich vereinbarte Stundenzahlen</t>
  </si>
  <si>
    <t>Stunden pro Monat</t>
  </si>
  <si>
    <t>Geleistete Arbeitszeit:</t>
  </si>
  <si>
    <t>Vertraglich vereinbarte Arbeitszeit:</t>
  </si>
  <si>
    <t>Monat</t>
  </si>
  <si>
    <t>Vertraglich
vereinbarte
Arbeitszeit</t>
  </si>
  <si>
    <t>Bemerkung</t>
  </si>
  <si>
    <t>Studentische Hilfskraft</t>
  </si>
  <si>
    <t>Wissenschaftliche Hilfskraft</t>
  </si>
  <si>
    <t>Beschäftigung als:</t>
  </si>
  <si>
    <t>Bemerkungen</t>
  </si>
  <si>
    <t>Jahr:</t>
  </si>
  <si>
    <t>Januar</t>
  </si>
  <si>
    <t>Februar</t>
  </si>
  <si>
    <t>März</t>
  </si>
  <si>
    <t>April</t>
  </si>
  <si>
    <t>Mai</t>
  </si>
  <si>
    <t>Juni</t>
  </si>
  <si>
    <t>Juli</t>
  </si>
  <si>
    <t>September</t>
  </si>
  <si>
    <t>Oktober</t>
  </si>
  <si>
    <t>November</t>
  </si>
  <si>
    <t>Dezember</t>
  </si>
  <si>
    <t>Berechnungsdaten</t>
  </si>
  <si>
    <t>Februar (Schaltjahr)</t>
  </si>
  <si>
    <t>Tag</t>
  </si>
  <si>
    <t>Beschäftigungsbeginn nach einem Monatsersten (Beginndatum nach Arbeitsvertrag)</t>
  </si>
  <si>
    <t>Beschäftigungsende vor einem Monatsletzten (Endedatum nach Arbeitsvertrag)</t>
  </si>
  <si>
    <t xml:space="preserve"> Monatsarbeitsstunden</t>
  </si>
  <si>
    <t>Vertraglich vereinbarte</t>
  </si>
  <si>
    <t>Anteilig zu erbringende</t>
  </si>
  <si>
    <t>Anzahl der</t>
  </si>
  <si>
    <t>Monatstage</t>
  </si>
  <si>
    <t>Arbeitstage</t>
  </si>
  <si>
    <t>Monatsarbeitsstunden</t>
  </si>
  <si>
    <t>Minuten:</t>
  </si>
  <si>
    <t>entspricht Stunden:</t>
  </si>
  <si>
    <t>Berechnungshilfe für anteilige Beschäftigungsmonate:</t>
  </si>
  <si>
    <t>Uhrzeit von</t>
  </si>
  <si>
    <t>Uhrzeit bis</t>
  </si>
  <si>
    <t>Unterschrift:</t>
  </si>
  <si>
    <t>August</t>
  </si>
  <si>
    <t>vertragliche Stunden:</t>
  </si>
  <si>
    <t>zu leistende Stunden (dezimal):</t>
  </si>
  <si>
    <t>Tages-</t>
  </si>
  <si>
    <t>arbeitszeit</t>
  </si>
  <si>
    <t>Bei 6 bis 9 Stunden Arbeitszeit pro Tag   =&gt;  30 Min. oder 2 x 15 Min. Pause</t>
  </si>
  <si>
    <t xml:space="preserve">  Bei 9 bis 10 Stunden Arbeitszeit pro Tag   =&gt;  45 Min. oder 3 x 15 Min. Pause</t>
  </si>
  <si>
    <t>Max Mustermann</t>
  </si>
  <si>
    <t>Arbeitsbereicht:</t>
  </si>
  <si>
    <t>Vorgesetzte*r</t>
  </si>
  <si>
    <t>1. Es ist die tatsächlich geleistete Arbeitszeit einzutragen.</t>
  </si>
  <si>
    <t>2. Bitte Beginn und Ende sowie Pausenzeit im Format SS:MM eingeben.</t>
  </si>
  <si>
    <t>3. Bitte beachten Sie die Ruhepausen:</t>
  </si>
  <si>
    <t>Hinweise zur Dateneingabe in den Monatsblättern zur Zeiterfassung</t>
  </si>
  <si>
    <t xml:space="preserve">4. Wenn der Arbeitstag regelmäßig und im vorhinein festgelegt worden ist und die Hilfskraft an dem betreffenden Tag arbeitsunfähig erkrankt war, Urlaub beansprucht bzw. dieser Tag ein Feiertag ist, so ist die  festgelegte Arbeitszeit einzutragen (es besteht ein Anspruch auf eine Lohnfortzahlung an Urlaubs-, Feier- und Krankheitstagen).  </t>
  </si>
  <si>
    <t xml:space="preserve">5. 'Die Arbeitszeit ist nach dem Mindestlohngesetz spätestens bis zum Ablauf des siebten auf den Tag der Arbeitsleistung folgenden Kalendertages aufzuzeichnen. </t>
  </si>
  <si>
    <t>Urlaubsanspruch:</t>
  </si>
  <si>
    <t>(in den Monatsblättern als Zeitgutschrift eintragen)</t>
  </si>
  <si>
    <t>1. Im Arbeitsvertrag ist die durchschnittliche monatliche Arbeitszeit vereinbart.</t>
  </si>
  <si>
    <t xml:space="preserve">2. Die Stunden können über die gesamte Vertragslaufzeit geleistet werden. </t>
  </si>
  <si>
    <t xml:space="preserve">   (in Absprache mit dem Fachbereich, nicht mehr als 82 Stunden pro Monat)</t>
  </si>
  <si>
    <t>3. Über die insgesamt zu leistenden Stunden hinaus darf nur auf Anordnung der</t>
  </si>
  <si>
    <t xml:space="preserve">   vorgesetzten Person gearbeitet werden. Der Arbeitsvertrag ist entsprechend </t>
  </si>
  <si>
    <t>Urlaubs-anspruch</t>
  </si>
  <si>
    <t xml:space="preserve">Stunden </t>
  </si>
  <si>
    <t>Differenz:</t>
  </si>
  <si>
    <t xml:space="preserve">6. Die Arbeitszeitnachweise (AZN) sind monatlich bis zum 6. Tag des Folgemonats auszudrucken bzw. digital an die/den zuständigen Vorgesetzten einzureichen/zu übersenden. </t>
  </si>
  <si>
    <t xml:space="preserve">8. Die AZN sind für die Dauer des Beschäftigungsverhältnisses aufbewahren und können frühestens sechs Monate und müssen spätestens 2 Jahre nach Beendigung der Beschäftigung vernichtet werden.                        </t>
  </si>
  <si>
    <t>7. Nach Ablauf des Vertrages ist zusätzlich das Tabellenblatt Gesamtübersicht auszudrucken bzw. digital an die/den zuständigen Vorgesetzten einzureichen/zu übersenden. Es darf keine Abweichung zwischen vereinbarter und geleisteter Arbeistzeit (vgl. Blatt 2, Zelle D20) geben!</t>
  </si>
  <si>
    <t xml:space="preserve">   durch Abschluss eines Änderungsvertrages anzupassen.</t>
  </si>
  <si>
    <t>Musterinstitut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</si>
</sst>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dd\,\ dd/mm/yyyy"/>
    <numFmt numFmtId="165" formatCode="General\ &quot;Stunden pro Monat&quot;"/>
    <numFmt numFmtId="166" formatCode="[h]:mm"/>
    <numFmt numFmtId="167" formatCode="General\ &quot;Stunden&quot;"/>
    <numFmt numFmtId="168" formatCode="0.00_ ;[Red]\-0.00\ "/>
    <numFmt numFmtId="169" formatCode="0_ ;[Red]\-0\ "/>
  </numFmts>
  <fonts count="11" x14ac:knownFonts="1">
    <font>
      <sz val="11"/>
      <color theme="1"/>
      <name val="Calibri"/>
      <family val="2"/>
      <scheme val="minor"/>
    </font>
    <font>
      <b/>
      <sz val="11"/>
      <color theme="1"/>
      <name val="Arial"/>
      <family val="2"/>
    </font>
    <font>
      <sz val="11"/>
      <color theme="1"/>
      <name val="Arial"/>
      <family val="2"/>
    </font>
    <font>
      <sz val="11"/>
      <color theme="0"/>
      <name val="Arial"/>
      <family val="2"/>
    </font>
    <font>
      <sz val="11"/>
      <color rgb="FFFF0000"/>
      <name val="Arial"/>
      <family val="2"/>
    </font>
    <font>
      <b/>
      <sz val="11"/>
      <color theme="0"/>
      <name val="Arial"/>
      <family val="2"/>
    </font>
    <font>
      <b/>
      <sz val="12"/>
      <color theme="1"/>
      <name val="Arial"/>
      <family val="2"/>
    </font>
    <font>
      <sz val="12"/>
      <color theme="1"/>
      <name val="Arial"/>
      <family val="2"/>
    </font>
    <font>
      <b/>
      <sz val="11"/>
      <color indexed="8"/>
      <name val="Arial"/>
      <family val="2"/>
    </font>
    <font>
      <b/>
      <sz val="1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auto="1"/>
      </top>
      <bottom/>
      <diagonal/>
    </border>
  </borders>
  <cellStyleXfs count="1">
    <xf numFmtId="0" fontId="0" fillId="0" borderId="0"/>
  </cellStyleXfs>
  <cellXfs count="105">
    <xf numFmtId="0" fontId="0" fillId="0" borderId="0" xfId="0"/>
    <xf numFmtId="0" fontId="1" fillId="2" borderId="0" xfId="0" applyFont="1" applyFill="1" applyAlignment="1">
      <alignment horizontal="right"/>
    </xf>
    <xf numFmtId="0" fontId="2" fillId="2" borderId="0" xfId="0" applyFont="1" applyFill="1"/>
    <xf numFmtId="0" fontId="2" fillId="2" borderId="0" xfId="0" applyFont="1" applyFill="1" applyAlignment="1">
      <alignment horizontal="right" vertical="center"/>
    </xf>
    <xf numFmtId="0" fontId="2" fillId="2" borderId="0" xfId="0" applyFont="1" applyFill="1" applyAlignment="1">
      <alignment horizontal="right"/>
    </xf>
    <xf numFmtId="0" fontId="2" fillId="2" borderId="1" xfId="0" applyFont="1" applyFill="1" applyBorder="1" applyAlignment="1">
      <alignment horizontal="center"/>
    </xf>
    <xf numFmtId="0" fontId="1" fillId="2" borderId="1" xfId="0" applyFont="1" applyFill="1" applyBorder="1" applyAlignment="1">
      <alignment horizontal="center" wrapText="1"/>
    </xf>
    <xf numFmtId="0" fontId="2" fillId="2" borderId="1" xfId="0" applyFont="1" applyFill="1" applyBorder="1" applyAlignment="1">
      <alignment horizontal="right"/>
    </xf>
    <xf numFmtId="0" fontId="1" fillId="2" borderId="0" xfId="0" applyFont="1" applyFill="1"/>
    <xf numFmtId="0" fontId="3" fillId="2" borderId="0" xfId="0" applyFont="1" applyFill="1" applyAlignment="1">
      <alignment horizontal="left"/>
    </xf>
    <xf numFmtId="0" fontId="3" fillId="2" borderId="0" xfId="0" applyFont="1" applyFill="1"/>
    <xf numFmtId="0" fontId="4" fillId="2" borderId="0" xfId="0" applyFont="1" applyFill="1"/>
    <xf numFmtId="0" fontId="1" fillId="2" borderId="1" xfId="0" applyFont="1" applyFill="1" applyBorder="1" applyAlignment="1">
      <alignment horizontal="left"/>
    </xf>
    <xf numFmtId="0" fontId="2" fillId="2" borderId="1" xfId="0" applyFont="1" applyFill="1" applyBorder="1"/>
    <xf numFmtId="0" fontId="5" fillId="2" borderId="0" xfId="0" applyFont="1" applyFill="1"/>
    <xf numFmtId="0" fontId="2" fillId="2" borderId="0" xfId="0" applyFont="1" applyFill="1" applyProtection="1">
      <protection locked="0"/>
    </xf>
    <xf numFmtId="0" fontId="3" fillId="2" borderId="0" xfId="0" applyFont="1" applyFill="1" applyAlignment="1">
      <alignment horizontal="center"/>
    </xf>
    <xf numFmtId="0" fontId="2" fillId="2" borderId="1" xfId="0" applyFont="1" applyFill="1" applyBorder="1" applyAlignment="1">
      <alignment wrapText="1"/>
    </xf>
    <xf numFmtId="0" fontId="2" fillId="3" borderId="0" xfId="0" applyFont="1" applyFill="1" applyAlignment="1" applyProtection="1">
      <alignment horizontal="center"/>
      <protection locked="0"/>
    </xf>
    <xf numFmtId="0" fontId="2" fillId="3" borderId="0" xfId="0" applyFont="1" applyFill="1" applyProtection="1">
      <protection locked="0"/>
    </xf>
    <xf numFmtId="0" fontId="2" fillId="2" borderId="0" xfId="0" applyFont="1" applyFill="1" applyAlignment="1">
      <alignment horizontal="center"/>
    </xf>
    <xf numFmtId="0" fontId="1" fillId="2" borderId="3" xfId="0" applyFont="1" applyFill="1" applyBorder="1" applyAlignment="1">
      <alignment horizontal="center"/>
    </xf>
    <xf numFmtId="167" fontId="1" fillId="2" borderId="4" xfId="0" applyNumberFormat="1" applyFont="1" applyFill="1" applyBorder="1" applyAlignment="1">
      <alignment horizontal="left" indent="1"/>
    </xf>
    <xf numFmtId="0" fontId="1" fillId="2" borderId="1" xfId="0" applyFont="1" applyFill="1" applyBorder="1"/>
    <xf numFmtId="0" fontId="1" fillId="2" borderId="1" xfId="0" applyFont="1" applyFill="1" applyBorder="1" applyAlignment="1">
      <alignment horizontal="center"/>
    </xf>
    <xf numFmtId="0" fontId="2" fillId="2" borderId="0" xfId="0" applyFont="1" applyFill="1" applyAlignment="1">
      <alignment vertical="top"/>
    </xf>
    <xf numFmtId="0" fontId="6" fillId="2" borderId="0" xfId="0" applyFont="1" applyFill="1" applyAlignment="1">
      <alignment horizontal="right"/>
    </xf>
    <xf numFmtId="168" fontId="7" fillId="2" borderId="0" xfId="0" applyNumberFormat="1" applyFont="1" applyFill="1"/>
    <xf numFmtId="0" fontId="7" fillId="2" borderId="0" xfId="0" applyFont="1" applyFill="1" applyAlignment="1">
      <alignment vertical="center"/>
    </xf>
    <xf numFmtId="0" fontId="7" fillId="2" borderId="0" xfId="0" applyFont="1" applyFill="1"/>
    <xf numFmtId="0" fontId="6" fillId="2" borderId="14" xfId="0" applyFont="1" applyFill="1" applyBorder="1" applyAlignment="1">
      <alignment horizontal="right"/>
    </xf>
    <xf numFmtId="168" fontId="6" fillId="2" borderId="14" xfId="0" applyNumberFormat="1" applyFont="1" applyFill="1" applyBorder="1" applyAlignment="1">
      <alignment horizontal="center"/>
    </xf>
    <xf numFmtId="169" fontId="6" fillId="2" borderId="0" xfId="0" applyNumberFormat="1" applyFont="1" applyFill="1" applyAlignment="1">
      <alignment horizontal="center"/>
    </xf>
    <xf numFmtId="0" fontId="6" fillId="2" borderId="0" xfId="0" applyFont="1" applyFill="1"/>
    <xf numFmtId="15" fontId="2" fillId="2" borderId="0" xfId="0" applyNumberFormat="1" applyFont="1" applyFill="1"/>
    <xf numFmtId="0" fontId="1" fillId="2" borderId="0" xfId="0" applyFont="1" applyFill="1" applyAlignment="1">
      <alignment horizontal="center"/>
    </xf>
    <xf numFmtId="0" fontId="1" fillId="2" borderId="1" xfId="0" applyFont="1" applyFill="1" applyBorder="1" applyAlignment="1">
      <alignment horizontal="left" indent="1"/>
    </xf>
    <xf numFmtId="0" fontId="2" fillId="2" borderId="0" xfId="0" applyFont="1" applyFill="1" applyAlignment="1">
      <alignment horizontal="left"/>
    </xf>
    <xf numFmtId="164" fontId="2" fillId="2" borderId="0" xfId="0" applyNumberFormat="1" applyFont="1" applyFill="1"/>
    <xf numFmtId="20" fontId="2" fillId="3" borderId="0" xfId="0" applyNumberFormat="1" applyFont="1" applyFill="1" applyAlignment="1" applyProtection="1">
      <alignment horizontal="center"/>
      <protection locked="0"/>
    </xf>
    <xf numFmtId="20" fontId="2" fillId="2" borderId="0" xfId="0" applyNumberFormat="1" applyFont="1" applyFill="1" applyAlignment="1">
      <alignment horizontal="center"/>
    </xf>
    <xf numFmtId="0" fontId="8" fillId="2" borderId="0" xfId="0" applyFont="1" applyFill="1" applyAlignment="1">
      <alignment horizontal="left" indent="1"/>
    </xf>
    <xf numFmtId="164" fontId="2" fillId="2" borderId="1" xfId="0" applyNumberFormat="1" applyFont="1" applyFill="1" applyBorder="1"/>
    <xf numFmtId="20" fontId="2" fillId="3" borderId="1" xfId="0" applyNumberFormat="1" applyFont="1" applyFill="1" applyBorder="1" applyAlignment="1" applyProtection="1">
      <alignment horizontal="center"/>
      <protection locked="0"/>
    </xf>
    <xf numFmtId="20" fontId="2" fillId="2" borderId="1" xfId="0" applyNumberFormat="1" applyFont="1" applyFill="1" applyBorder="1" applyAlignment="1">
      <alignment horizontal="center"/>
    </xf>
    <xf numFmtId="0" fontId="2" fillId="3" borderId="1" xfId="0" applyFont="1" applyFill="1" applyBorder="1" applyProtection="1">
      <protection locked="0"/>
    </xf>
    <xf numFmtId="20" fontId="2" fillId="2" borderId="0" xfId="0" applyNumberFormat="1" applyFont="1" applyFill="1" applyAlignment="1" applyProtection="1">
      <alignment horizontal="center"/>
      <protection locked="0"/>
    </xf>
    <xf numFmtId="166" fontId="2" fillId="2" borderId="0" xfId="0" applyNumberFormat="1" applyFont="1" applyFill="1" applyAlignment="1">
      <alignment horizontal="center"/>
    </xf>
    <xf numFmtId="0" fontId="2" fillId="2" borderId="0" xfId="0" applyFont="1" applyFill="1" applyAlignment="1">
      <alignment horizontal="right" indent="1"/>
    </xf>
    <xf numFmtId="2" fontId="2" fillId="2" borderId="2" xfId="0" applyNumberFormat="1" applyFont="1" applyFill="1" applyBorder="1" applyAlignment="1">
      <alignment horizontal="center"/>
    </xf>
    <xf numFmtId="0" fontId="8" fillId="2" borderId="1" xfId="0" applyFont="1" applyFill="1" applyBorder="1" applyAlignment="1">
      <alignment horizontal="left" indent="1"/>
    </xf>
    <xf numFmtId="2" fontId="1" fillId="2" borderId="5" xfId="0" applyNumberFormat="1" applyFont="1" applyFill="1" applyBorder="1" applyAlignment="1">
      <alignment horizontal="center"/>
    </xf>
    <xf numFmtId="0" fontId="2" fillId="3" borderId="1" xfId="0" applyFont="1" applyFill="1" applyBorder="1"/>
    <xf numFmtId="0" fontId="1" fillId="2" borderId="0" xfId="0" applyFont="1" applyFill="1" applyAlignment="1">
      <alignment horizontal="right" indent="1"/>
    </xf>
    <xf numFmtId="0" fontId="6" fillId="2" borderId="0" xfId="0" applyFont="1" applyFill="1" applyAlignment="1">
      <alignment vertical="center"/>
    </xf>
    <xf numFmtId="0" fontId="7" fillId="2" borderId="0" xfId="0" applyFont="1" applyFill="1" applyAlignment="1">
      <alignment horizontal="right" vertical="center"/>
    </xf>
    <xf numFmtId="0" fontId="7" fillId="2" borderId="0" xfId="0" applyFont="1" applyFill="1" applyAlignment="1">
      <alignment horizontal="right"/>
    </xf>
    <xf numFmtId="0" fontId="6" fillId="2" borderId="1" xfId="0" applyFont="1" applyFill="1" applyBorder="1" applyAlignment="1">
      <alignment horizontal="center"/>
    </xf>
    <xf numFmtId="0" fontId="6" fillId="2" borderId="1" xfId="0" applyFont="1" applyFill="1" applyBorder="1" applyAlignment="1">
      <alignment horizontal="center" wrapText="1"/>
    </xf>
    <xf numFmtId="168" fontId="7" fillId="2" borderId="0" xfId="0" applyNumberFormat="1" applyFont="1" applyFill="1" applyAlignment="1">
      <alignment horizontal="center"/>
    </xf>
    <xf numFmtId="168" fontId="6" fillId="2" borderId="0" xfId="0" applyNumberFormat="1" applyFont="1" applyFill="1" applyAlignment="1">
      <alignment horizontal="center"/>
    </xf>
    <xf numFmtId="0" fontId="7" fillId="2" borderId="0" xfId="0" applyFont="1" applyFill="1" applyBorder="1" applyAlignment="1">
      <alignment horizontal="right"/>
    </xf>
    <xf numFmtId="168" fontId="7" fillId="2" borderId="0" xfId="0" applyNumberFormat="1" applyFont="1" applyFill="1" applyBorder="1" applyAlignment="1">
      <alignment horizontal="center"/>
    </xf>
    <xf numFmtId="169" fontId="7" fillId="2" borderId="0" xfId="0" applyNumberFormat="1" applyFont="1" applyFill="1" applyAlignment="1">
      <alignment horizontal="center"/>
    </xf>
    <xf numFmtId="0" fontId="7" fillId="2" borderId="6" xfId="0" applyFont="1" applyFill="1" applyBorder="1" applyAlignment="1">
      <alignment horizontal="right"/>
    </xf>
    <xf numFmtId="168" fontId="7" fillId="2" borderId="7" xfId="0" applyNumberFormat="1" applyFont="1" applyFill="1" applyBorder="1" applyAlignment="1">
      <alignment horizontal="center"/>
    </xf>
    <xf numFmtId="168" fontId="7" fillId="2" borderId="2" xfId="0" applyNumberFormat="1" applyFont="1" applyFill="1" applyBorder="1" applyAlignment="1">
      <alignment horizontal="center"/>
    </xf>
    <xf numFmtId="0" fontId="7" fillId="2" borderId="8" xfId="0" applyFont="1" applyFill="1" applyBorder="1" applyAlignment="1">
      <alignment horizontal="right"/>
    </xf>
    <xf numFmtId="1" fontId="7" fillId="2" borderId="9" xfId="0" applyNumberFormat="1" applyFont="1" applyFill="1" applyBorder="1" applyAlignment="1">
      <alignment horizontal="center"/>
    </xf>
    <xf numFmtId="1" fontId="7" fillId="2" borderId="12" xfId="0" applyNumberFormat="1" applyFont="1" applyFill="1" applyBorder="1" applyAlignment="1">
      <alignment horizontal="center"/>
    </xf>
    <xf numFmtId="0" fontId="7" fillId="2" borderId="10" xfId="0" applyFont="1" applyFill="1" applyBorder="1" applyAlignment="1">
      <alignment horizontal="right"/>
    </xf>
    <xf numFmtId="1" fontId="7" fillId="2" borderId="11" xfId="0" applyNumberFormat="1" applyFont="1" applyFill="1" applyBorder="1" applyAlignment="1">
      <alignment horizontal="center"/>
    </xf>
    <xf numFmtId="1" fontId="7" fillId="2" borderId="13" xfId="0" applyNumberFormat="1" applyFont="1" applyFill="1" applyBorder="1" applyAlignment="1">
      <alignment horizontal="center"/>
    </xf>
    <xf numFmtId="1" fontId="7" fillId="2" borderId="0" xfId="0" applyNumberFormat="1" applyFont="1" applyFill="1" applyBorder="1" applyAlignment="1">
      <alignment horizontal="center"/>
    </xf>
    <xf numFmtId="1" fontId="7" fillId="2" borderId="0" xfId="0" applyNumberFormat="1" applyFont="1" applyFill="1" applyAlignment="1">
      <alignment horizontal="center"/>
    </xf>
    <xf numFmtId="18" fontId="7" fillId="2" borderId="0" xfId="0" applyNumberFormat="1" applyFont="1" applyFill="1"/>
    <xf numFmtId="0" fontId="6" fillId="2" borderId="0" xfId="0" applyFont="1" applyFill="1" applyAlignment="1">
      <alignment vertical="top"/>
    </xf>
    <xf numFmtId="0" fontId="6" fillId="2" borderId="1" xfId="0" applyFont="1" applyFill="1" applyBorder="1" applyAlignment="1">
      <alignment horizontal="right" indent="1"/>
    </xf>
    <xf numFmtId="0" fontId="6" fillId="2" borderId="0" xfId="0" applyFont="1" applyFill="1" applyBorder="1" applyAlignment="1">
      <alignment horizontal="right"/>
    </xf>
    <xf numFmtId="165" fontId="10" fillId="0" borderId="0" xfId="0" applyNumberFormat="1" applyFont="1" applyFill="1" applyAlignment="1" applyProtection="1">
      <alignment horizontal="left" indent="1"/>
      <protection locked="0"/>
    </xf>
    <xf numFmtId="0" fontId="2" fillId="0" borderId="0" xfId="0" applyFont="1" applyFill="1"/>
    <xf numFmtId="49" fontId="2" fillId="0" borderId="4" xfId="0" applyNumberFormat="1" applyFont="1" applyFill="1" applyBorder="1" applyAlignment="1" applyProtection="1">
      <alignment horizontal="left"/>
      <protection locked="0"/>
    </xf>
    <xf numFmtId="0" fontId="2" fillId="0" borderId="0" xfId="0" applyFont="1" applyFill="1" applyAlignment="1" applyProtection="1">
      <alignment horizontal="left"/>
      <protection locked="0"/>
    </xf>
    <xf numFmtId="0" fontId="2" fillId="0" borderId="1" xfId="0" applyFont="1" applyFill="1" applyBorder="1" applyAlignment="1" applyProtection="1">
      <alignment horizontal="left"/>
      <protection locked="0"/>
    </xf>
    <xf numFmtId="20" fontId="2" fillId="3" borderId="0" xfId="0" applyNumberFormat="1" applyFont="1" applyFill="1" applyBorder="1" applyAlignment="1" applyProtection="1">
      <alignment horizontal="center"/>
      <protection locked="0"/>
    </xf>
    <xf numFmtId="0" fontId="9" fillId="3" borderId="0" xfId="0" applyFont="1" applyFill="1" applyAlignment="1" applyProtection="1">
      <alignment horizontal="left" vertical="center"/>
      <protection locked="0"/>
    </xf>
    <xf numFmtId="0" fontId="10" fillId="3" borderId="0" xfId="0" applyFont="1" applyFill="1" applyAlignment="1" applyProtection="1">
      <alignment horizontal="left" vertical="center" wrapText="1"/>
      <protection locked="0"/>
    </xf>
    <xf numFmtId="0" fontId="10" fillId="3" borderId="0" xfId="0" applyFont="1" applyFill="1" applyAlignment="1" applyProtection="1">
      <alignment horizontal="left" vertical="center"/>
      <protection locked="0"/>
    </xf>
    <xf numFmtId="0" fontId="2" fillId="2" borderId="4" xfId="0" quotePrefix="1" applyFont="1" applyFill="1" applyBorder="1" applyAlignment="1">
      <alignment horizontal="left" vertical="center"/>
    </xf>
    <xf numFmtId="15" fontId="2" fillId="2" borderId="0" xfId="0" quotePrefix="1" applyNumberFormat="1" applyFont="1" applyFill="1" applyAlignment="1">
      <alignment horizontal="left" vertical="center"/>
    </xf>
    <xf numFmtId="0" fontId="2" fillId="2" borderId="0" xfId="0" quotePrefix="1" applyFont="1" applyFill="1" applyAlignment="1">
      <alignment horizontal="left"/>
    </xf>
    <xf numFmtId="0" fontId="1" fillId="2" borderId="0" xfId="0" applyFont="1" applyFill="1" applyAlignment="1">
      <alignment horizontal="center"/>
    </xf>
    <xf numFmtId="0" fontId="1" fillId="2" borderId="0" xfId="0" applyFont="1" applyFill="1" applyAlignment="1">
      <alignment horizontal="center" vertical="top"/>
    </xf>
    <xf numFmtId="0" fontId="2" fillId="2" borderId="0" xfId="0" applyFont="1" applyFill="1" applyAlignment="1">
      <alignment horizontal="left" vertical="top" wrapText="1"/>
    </xf>
    <xf numFmtId="0" fontId="2" fillId="2" borderId="0" xfId="0" quotePrefix="1" applyFont="1" applyFill="1" applyAlignment="1">
      <alignment horizontal="left" vertical="top" wrapText="1"/>
    </xf>
    <xf numFmtId="0" fontId="7" fillId="2" borderId="0" xfId="0" applyFont="1" applyFill="1" applyAlignment="1">
      <alignment wrapText="1"/>
    </xf>
    <xf numFmtId="0" fontId="6" fillId="2" borderId="0" xfId="0" applyFont="1" applyFill="1" applyAlignment="1">
      <alignment horizontal="left" wrapText="1"/>
    </xf>
    <xf numFmtId="0" fontId="6" fillId="2" borderId="0" xfId="0" applyFont="1" applyFill="1" applyAlignment="1">
      <alignment horizontal="left" vertical="center"/>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1" fillId="2" borderId="0" xfId="0" applyFont="1" applyFill="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left"/>
    </xf>
    <xf numFmtId="0" fontId="2" fillId="2" borderId="0" xfId="0" applyFont="1" applyFill="1" applyAlignment="1">
      <alignment horizontal="left" vertical="center"/>
    </xf>
    <xf numFmtId="0" fontId="8" fillId="2" borderId="0" xfId="0" applyFont="1" applyFill="1" applyAlignment="1">
      <alignment horizontal="left"/>
    </xf>
  </cellXfs>
  <cellStyles count="1">
    <cellStyle name="Standard" xfId="0" builtinId="0"/>
  </cellStyles>
  <dxfs count="93">
    <dxf>
      <font>
        <color theme="0" tint="-0.34998626667073579"/>
      </font>
    </dxf>
    <dxf>
      <font>
        <color theme="0" tint="-0.24994659260841701"/>
      </font>
    </dxf>
    <dxf>
      <fill>
        <patternFill>
          <bgColor theme="3" tint="0.59996337778862885"/>
        </patternFill>
      </fill>
    </dxf>
    <dxf>
      <font>
        <color theme="0" tint="-0.34998626667073579"/>
      </font>
    </dxf>
    <dxf>
      <font>
        <color theme="0" tint="-0.34998626667073579"/>
      </font>
    </dxf>
    <dxf>
      <font>
        <color theme="0" tint="-0.24994659260841701"/>
      </font>
    </dxf>
    <dxf>
      <fill>
        <patternFill>
          <bgColor theme="3" tint="0.59996337778862885"/>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dxf>
    <dxf>
      <fill>
        <patternFill>
          <bgColor theme="3" tint="0.59996337778862885"/>
        </patternFill>
      </fill>
    </dxf>
    <dxf>
      <font>
        <color theme="0" tint="-0.34998626667073579"/>
      </font>
    </dxf>
    <dxf>
      <font>
        <color theme="0" tint="-0.34998626667073579"/>
      </font>
    </dxf>
    <dxf>
      <font>
        <color theme="0" tint="-0.24994659260841701"/>
      </font>
    </dxf>
    <dxf>
      <font>
        <color theme="0" tint="-0.24994659260841701"/>
      </font>
    </dxf>
    <dxf>
      <fill>
        <patternFill>
          <bgColor theme="3" tint="0.59996337778862885"/>
        </patternFill>
      </fill>
    </dxf>
    <dxf>
      <font>
        <color theme="0" tint="-0.34998626667073579"/>
      </font>
    </dxf>
    <dxf>
      <font>
        <color theme="0" tint="-0.34998626667073579"/>
      </font>
    </dxf>
    <dxf>
      <font>
        <color theme="0" tint="-0.24994659260841701"/>
      </font>
    </dxf>
    <dxf>
      <fill>
        <patternFill>
          <bgColor theme="3" tint="0.59996337778862885"/>
        </patternFill>
      </fill>
    </dxf>
    <dxf>
      <font>
        <color theme="0" tint="-0.24994659260841701"/>
      </font>
    </dxf>
    <dxf>
      <fill>
        <patternFill>
          <bgColor theme="3" tint="0.59996337778862885"/>
        </patternFill>
      </fill>
    </dxf>
    <dxf>
      <font>
        <color theme="0" tint="-0.34998626667073579"/>
      </font>
    </dxf>
    <dxf>
      <font>
        <color theme="0" tint="-0.34998626667073579"/>
      </font>
    </dxf>
    <dxf>
      <font>
        <color theme="0" tint="-0.24994659260841701"/>
      </font>
    </dxf>
    <dxf>
      <font>
        <color theme="0" tint="-0.24994659260841701"/>
      </font>
    </dxf>
    <dxf>
      <fill>
        <patternFill>
          <bgColor theme="3" tint="0.59996337778862885"/>
        </patternFill>
      </fill>
    </dxf>
    <dxf>
      <font>
        <color theme="0" tint="-0.34998626667073579"/>
      </font>
    </dxf>
    <dxf>
      <font>
        <color theme="0" tint="-0.34998626667073579"/>
      </font>
    </dxf>
    <dxf>
      <font>
        <color theme="0" tint="-0.24994659260841701"/>
      </font>
    </dxf>
    <dxf>
      <fill>
        <patternFill>
          <bgColor theme="3" tint="0.59996337778862885"/>
        </patternFill>
      </fill>
    </dxf>
    <dxf>
      <font>
        <color theme="0" tint="-0.24994659260841701"/>
      </font>
    </dxf>
    <dxf>
      <fill>
        <patternFill>
          <bgColor theme="3" tint="0.59996337778862885"/>
        </patternFill>
      </fill>
    </dxf>
    <dxf>
      <font>
        <color theme="0" tint="-0.34998626667073579"/>
      </font>
    </dxf>
    <dxf>
      <font>
        <color theme="0" tint="-0.34998626667073579"/>
      </font>
    </dxf>
    <dxf>
      <font>
        <color theme="0" tint="-0.24994659260841701"/>
      </font>
    </dxf>
    <dxf>
      <fill>
        <patternFill>
          <bgColor theme="3" tint="0.59996337778862885"/>
        </patternFill>
      </fill>
    </dxf>
    <dxf>
      <font>
        <color theme="0" tint="-0.24994659260841701"/>
      </font>
    </dxf>
    <dxf>
      <fill>
        <patternFill>
          <bgColor theme="3" tint="0.59996337778862885"/>
        </patternFill>
      </fill>
    </dxf>
    <dxf>
      <font>
        <color theme="0" tint="-0.34998626667073579"/>
      </font>
    </dxf>
    <dxf>
      <font>
        <color theme="0" tint="-0.34998626667073579"/>
      </font>
    </dxf>
    <dxf>
      <font>
        <color theme="0" tint="-0.24994659260841701"/>
      </font>
    </dxf>
    <dxf>
      <font>
        <color theme="0" tint="-0.24994659260841701"/>
      </font>
    </dxf>
    <dxf>
      <fill>
        <patternFill>
          <bgColor theme="3" tint="0.59996337778862885"/>
        </patternFill>
      </fill>
    </dxf>
    <dxf>
      <font>
        <color theme="0" tint="-0.34998626667073579"/>
      </font>
    </dxf>
    <dxf>
      <font>
        <color theme="0" tint="-0.34998626667073579"/>
      </font>
    </dxf>
    <dxf>
      <font>
        <color theme="0" tint="-0.24994659260841701"/>
      </font>
    </dxf>
    <dxf>
      <fill>
        <patternFill>
          <bgColor theme="3" tint="0.59996337778862885"/>
        </patternFill>
      </fill>
    </dxf>
    <dxf>
      <font>
        <color theme="0" tint="-0.24994659260841701"/>
      </font>
    </dxf>
    <dxf>
      <fill>
        <patternFill>
          <bgColor theme="3" tint="0.59996337778862885"/>
        </patternFill>
      </fill>
    </dxf>
    <dxf>
      <font>
        <color theme="0" tint="-0.34998626667073579"/>
      </font>
    </dxf>
    <dxf>
      <font>
        <color theme="0" tint="-0.34998626667073579"/>
      </font>
    </dxf>
    <dxf>
      <font>
        <color theme="0" tint="-0.24994659260841701"/>
      </font>
    </dxf>
    <dxf>
      <font>
        <color theme="0" tint="-0.24994659260841701"/>
      </font>
    </dxf>
    <dxf>
      <fill>
        <patternFill>
          <bgColor theme="3" tint="0.59996337778862885"/>
        </patternFill>
      </fill>
    </dxf>
    <dxf>
      <font>
        <color theme="0" tint="-0.34998626667073579"/>
      </font>
    </dxf>
    <dxf>
      <font>
        <color theme="0" tint="-0.34998626667073579"/>
      </font>
    </dxf>
    <dxf>
      <font>
        <color theme="0" tint="-0.24994659260841701"/>
      </font>
    </dxf>
    <dxf>
      <fill>
        <patternFill>
          <bgColor theme="3" tint="0.59996337778862885"/>
        </patternFill>
      </fill>
    </dxf>
    <dxf>
      <font>
        <color theme="0"/>
      </font>
    </dxf>
    <dxf>
      <font>
        <color theme="0" tint="-0.24994659260841701"/>
      </font>
    </dxf>
    <dxf>
      <font>
        <color theme="0" tint="-0.34998626667073579"/>
      </font>
    </dxf>
    <dxf>
      <font>
        <color theme="0" tint="-0.34998626667073579"/>
      </font>
    </dxf>
    <dxf>
      <font>
        <color theme="0" tint="-0.34998626667073579"/>
      </font>
    </dxf>
    <dxf>
      <font>
        <color theme="0" tint="-0.24994659260841701"/>
      </font>
    </dxf>
    <dxf>
      <fill>
        <patternFill>
          <bgColor theme="3" tint="0.59996337778862885"/>
        </patternFill>
      </fill>
    </dxf>
    <dxf>
      <font>
        <color theme="0" tint="-0.34998626667073579"/>
      </font>
    </dxf>
    <dxf>
      <font>
        <color theme="0" tint="-0.24994659260841701"/>
      </font>
    </dxf>
    <dxf>
      <fill>
        <patternFill>
          <bgColor theme="3" tint="0.59996337778862885"/>
        </patternFill>
      </fill>
    </dxf>
    <dxf>
      <font>
        <color theme="0" tint="-0.34998626667073579"/>
      </font>
    </dxf>
    <dxf>
      <font>
        <color theme="0" tint="-0.24994659260841701"/>
      </font>
    </dxf>
    <dxf>
      <font>
        <color theme="0" tint="-0.34998626667073579"/>
      </font>
    </dxf>
    <dxf>
      <font>
        <color theme="0" tint="-0.24994659260841701"/>
      </font>
    </dxf>
    <dxf>
      <fill>
        <patternFill>
          <bgColor theme="3" tint="0.59996337778862885"/>
        </patternFill>
      </fill>
    </dxf>
    <dxf>
      <font>
        <color auto="1"/>
      </font>
      <fill>
        <patternFill>
          <bgColor rgb="FFFF0000"/>
        </patternFill>
      </fill>
    </dxf>
    <dxf>
      <font>
        <color rgb="FF006100"/>
      </font>
      <fill>
        <patternFill>
          <bgColor rgb="FFC6EFCE"/>
        </patternFill>
      </fill>
    </dxf>
    <dxf>
      <font>
        <color auto="1"/>
      </font>
      <fill>
        <patternFill>
          <bgColor rgb="FFFF0000"/>
        </patternFill>
      </fill>
    </dxf>
    <dxf>
      <font>
        <color rgb="FF006100"/>
      </font>
      <fill>
        <patternFill>
          <bgColor rgb="FFC6EFCE"/>
        </patternFill>
      </fill>
    </dxf>
    <dxf>
      <font>
        <color auto="1"/>
      </font>
      <fill>
        <patternFill>
          <bgColor rgb="FFFF0000"/>
        </patternFill>
      </fill>
    </dxf>
    <dxf>
      <font>
        <color rgb="FF006100"/>
      </font>
      <fill>
        <patternFill>
          <bgColor rgb="FFC6EFCE"/>
        </patternFill>
      </fill>
    </dxf>
    <dxf>
      <font>
        <color auto="1"/>
      </font>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Q33"/>
  <sheetViews>
    <sheetView topLeftCell="A16" workbookViewId="0">
      <selection activeCell="G24" sqref="G24"/>
    </sheetView>
  </sheetViews>
  <sheetFormatPr baseColWidth="10" defaultColWidth="11.42578125" defaultRowHeight="14.25" x14ac:dyDescent="0.2"/>
  <cols>
    <col min="1" max="1" width="20.140625" style="2" customWidth="1"/>
    <col min="2" max="2" width="32.7109375" style="2" customWidth="1"/>
    <col min="3" max="3" width="1.85546875" style="2" customWidth="1"/>
    <col min="4" max="4" width="11.140625" style="2" customWidth="1"/>
    <col min="5" max="5" width="21.28515625" style="2" customWidth="1"/>
    <col min="6" max="6" width="1.7109375" style="2" customWidth="1"/>
    <col min="7" max="10" width="12.140625" style="2" customWidth="1"/>
    <col min="11" max="11" width="21.85546875" style="2" bestFit="1" customWidth="1"/>
    <col min="12" max="12" width="22.140625" style="2" bestFit="1" customWidth="1"/>
    <col min="13" max="16384" width="11.42578125" style="2"/>
  </cols>
  <sheetData>
    <row r="1" spans="1:17" ht="15" x14ac:dyDescent="0.25">
      <c r="A1" s="1" t="s">
        <v>2</v>
      </c>
      <c r="B1" s="85" t="s">
        <v>68</v>
      </c>
      <c r="C1" s="85"/>
      <c r="D1" s="85"/>
    </row>
    <row r="2" spans="1:17" ht="30.2" customHeight="1" x14ac:dyDescent="0.2">
      <c r="A2" s="3" t="s">
        <v>69</v>
      </c>
      <c r="B2" s="86" t="s">
        <v>91</v>
      </c>
      <c r="C2" s="86"/>
      <c r="D2" s="86"/>
    </row>
    <row r="3" spans="1:17" x14ac:dyDescent="0.2">
      <c r="A3" s="3" t="s">
        <v>70</v>
      </c>
      <c r="B3" s="87" t="s">
        <v>68</v>
      </c>
      <c r="C3" s="87"/>
      <c r="D3" s="87"/>
    </row>
    <row r="4" spans="1:17" x14ac:dyDescent="0.2">
      <c r="A4" s="3" t="s">
        <v>29</v>
      </c>
      <c r="B4" s="87" t="s">
        <v>27</v>
      </c>
      <c r="C4" s="87"/>
      <c r="D4" s="87"/>
      <c r="H4" s="9" t="s">
        <v>27</v>
      </c>
    </row>
    <row r="5" spans="1:17" x14ac:dyDescent="0.2">
      <c r="A5" s="3" t="s">
        <v>31</v>
      </c>
      <c r="B5" s="87">
        <v>2024</v>
      </c>
      <c r="C5" s="87"/>
      <c r="D5" s="87"/>
      <c r="H5" s="10" t="s">
        <v>28</v>
      </c>
    </row>
    <row r="6" spans="1:17" x14ac:dyDescent="0.2">
      <c r="N6" s="11"/>
      <c r="O6" s="10"/>
      <c r="P6" s="10"/>
      <c r="Q6" s="11"/>
    </row>
    <row r="7" spans="1:17" ht="15" x14ac:dyDescent="0.25">
      <c r="A7" s="12" t="s">
        <v>20</v>
      </c>
      <c r="B7" s="13"/>
      <c r="D7" s="12" t="s">
        <v>30</v>
      </c>
      <c r="E7" s="12"/>
      <c r="G7" s="12" t="s">
        <v>57</v>
      </c>
      <c r="H7" s="12"/>
      <c r="I7" s="12"/>
      <c r="J7" s="12"/>
      <c r="N7" s="11"/>
      <c r="O7" s="14" t="s">
        <v>43</v>
      </c>
      <c r="P7" s="10"/>
      <c r="Q7" s="11"/>
    </row>
    <row r="8" spans="1:17" x14ac:dyDescent="0.2">
      <c r="A8" s="4" t="s">
        <v>7</v>
      </c>
      <c r="B8" s="79">
        <v>0</v>
      </c>
      <c r="C8" s="80"/>
      <c r="D8" s="81"/>
      <c r="E8" s="81"/>
      <c r="G8" s="15"/>
      <c r="H8" s="15"/>
      <c r="I8" s="15"/>
      <c r="J8" s="15"/>
      <c r="N8" s="11"/>
      <c r="O8" s="10" t="s">
        <v>32</v>
      </c>
      <c r="P8" s="16">
        <v>31</v>
      </c>
      <c r="Q8" s="11"/>
    </row>
    <row r="9" spans="1:17" ht="15" x14ac:dyDescent="0.25">
      <c r="A9" s="4" t="s">
        <v>8</v>
      </c>
      <c r="B9" s="79">
        <v>0</v>
      </c>
      <c r="C9" s="80"/>
      <c r="D9" s="82"/>
      <c r="E9" s="82"/>
      <c r="G9" s="8" t="s">
        <v>46</v>
      </c>
      <c r="N9" s="11"/>
      <c r="O9" s="10" t="s">
        <v>33</v>
      </c>
      <c r="P9" s="16">
        <v>28</v>
      </c>
      <c r="Q9" s="11"/>
    </row>
    <row r="10" spans="1:17" x14ac:dyDescent="0.2">
      <c r="A10" s="4" t="s">
        <v>9</v>
      </c>
      <c r="B10" s="79">
        <v>0</v>
      </c>
      <c r="C10" s="80"/>
      <c r="D10" s="82"/>
      <c r="E10" s="82"/>
      <c r="I10" s="2" t="s">
        <v>51</v>
      </c>
      <c r="J10" s="2" t="s">
        <v>51</v>
      </c>
      <c r="K10" s="2" t="s">
        <v>49</v>
      </c>
      <c r="L10" s="2" t="s">
        <v>50</v>
      </c>
      <c r="N10" s="11"/>
      <c r="O10" s="10" t="s">
        <v>44</v>
      </c>
      <c r="P10" s="16">
        <v>29</v>
      </c>
      <c r="Q10" s="11"/>
    </row>
    <row r="11" spans="1:17" ht="15" customHeight="1" x14ac:dyDescent="0.2">
      <c r="A11" s="4" t="s">
        <v>10</v>
      </c>
      <c r="B11" s="79">
        <v>0</v>
      </c>
      <c r="C11" s="80"/>
      <c r="D11" s="82"/>
      <c r="E11" s="82"/>
      <c r="G11" s="5" t="s">
        <v>45</v>
      </c>
      <c r="H11" s="13" t="s">
        <v>24</v>
      </c>
      <c r="I11" s="17" t="s">
        <v>52</v>
      </c>
      <c r="J11" s="17" t="s">
        <v>53</v>
      </c>
      <c r="K11" s="17" t="s">
        <v>48</v>
      </c>
      <c r="L11" s="17" t="s">
        <v>54</v>
      </c>
      <c r="N11" s="11"/>
      <c r="O11" s="10" t="s">
        <v>34</v>
      </c>
      <c r="P11" s="16">
        <v>31</v>
      </c>
      <c r="Q11" s="11"/>
    </row>
    <row r="12" spans="1:17" ht="15.75" thickBot="1" x14ac:dyDescent="0.3">
      <c r="A12" s="4" t="s">
        <v>11</v>
      </c>
      <c r="B12" s="79">
        <v>0</v>
      </c>
      <c r="C12" s="80"/>
      <c r="D12" s="82"/>
      <c r="E12" s="82"/>
      <c r="G12" s="18">
        <v>1</v>
      </c>
      <c r="H12" s="19" t="s">
        <v>40</v>
      </c>
      <c r="I12" s="20">
        <f>VLOOKUP(H12,O7:P20,2,FALSE)</f>
        <v>31</v>
      </c>
      <c r="J12" s="20">
        <f>I12-G12+1</f>
        <v>31</v>
      </c>
      <c r="K12" s="18">
        <v>0</v>
      </c>
      <c r="L12" s="21">
        <f>ROUND(K12*J12/I12,2)</f>
        <v>0</v>
      </c>
      <c r="N12" s="11"/>
      <c r="O12" s="10" t="s">
        <v>35</v>
      </c>
      <c r="P12" s="16">
        <v>30</v>
      </c>
      <c r="Q12" s="11"/>
    </row>
    <row r="13" spans="1:17" ht="15" thickTop="1" x14ac:dyDescent="0.2">
      <c r="A13" s="4" t="s">
        <v>12</v>
      </c>
      <c r="B13" s="79">
        <v>0</v>
      </c>
      <c r="C13" s="80"/>
      <c r="D13" s="82"/>
      <c r="E13" s="82"/>
      <c r="N13" s="11"/>
      <c r="O13" s="10" t="s">
        <v>36</v>
      </c>
      <c r="P13" s="16">
        <v>31</v>
      </c>
      <c r="Q13" s="11"/>
    </row>
    <row r="14" spans="1:17" x14ac:dyDescent="0.2">
      <c r="A14" s="4" t="s">
        <v>13</v>
      </c>
      <c r="B14" s="79">
        <v>0</v>
      </c>
      <c r="C14" s="80"/>
      <c r="D14" s="82"/>
      <c r="E14" s="82"/>
      <c r="N14" s="11"/>
      <c r="O14" s="10" t="s">
        <v>37</v>
      </c>
      <c r="P14" s="16">
        <v>30</v>
      </c>
      <c r="Q14" s="11"/>
    </row>
    <row r="15" spans="1:17" ht="15" x14ac:dyDescent="0.25">
      <c r="A15" s="4" t="s">
        <v>14</v>
      </c>
      <c r="B15" s="79">
        <v>0</v>
      </c>
      <c r="C15" s="80"/>
      <c r="D15" s="82"/>
      <c r="E15" s="82"/>
      <c r="G15" s="8" t="s">
        <v>47</v>
      </c>
      <c r="N15" s="11"/>
      <c r="O15" s="10" t="s">
        <v>38</v>
      </c>
      <c r="P15" s="16">
        <v>31</v>
      </c>
      <c r="Q15" s="11"/>
    </row>
    <row r="16" spans="1:17" x14ac:dyDescent="0.2">
      <c r="A16" s="4" t="s">
        <v>15</v>
      </c>
      <c r="B16" s="79">
        <v>0</v>
      </c>
      <c r="C16" s="80"/>
      <c r="D16" s="82"/>
      <c r="E16" s="82"/>
      <c r="I16" s="2" t="s">
        <v>51</v>
      </c>
      <c r="J16" s="2" t="s">
        <v>51</v>
      </c>
      <c r="K16" s="2" t="s">
        <v>49</v>
      </c>
      <c r="L16" s="2" t="s">
        <v>50</v>
      </c>
      <c r="N16" s="11"/>
      <c r="O16" s="10" t="s">
        <v>61</v>
      </c>
      <c r="P16" s="16">
        <v>31</v>
      </c>
      <c r="Q16" s="11"/>
    </row>
    <row r="17" spans="1:17" ht="15" customHeight="1" x14ac:dyDescent="0.2">
      <c r="A17" s="4" t="s">
        <v>16</v>
      </c>
      <c r="B17" s="79">
        <v>0</v>
      </c>
      <c r="C17" s="80"/>
      <c r="D17" s="82"/>
      <c r="E17" s="82"/>
      <c r="G17" s="5" t="s">
        <v>45</v>
      </c>
      <c r="H17" s="13" t="s">
        <v>24</v>
      </c>
      <c r="I17" s="17" t="s">
        <v>52</v>
      </c>
      <c r="J17" s="17" t="s">
        <v>53</v>
      </c>
      <c r="K17" s="17" t="s">
        <v>48</v>
      </c>
      <c r="L17" s="17" t="s">
        <v>54</v>
      </c>
      <c r="N17" s="11"/>
      <c r="O17" s="10" t="s">
        <v>39</v>
      </c>
      <c r="P17" s="16">
        <v>30</v>
      </c>
      <c r="Q17" s="11"/>
    </row>
    <row r="18" spans="1:17" ht="15.75" thickBot="1" x14ac:dyDescent="0.3">
      <c r="A18" s="4" t="s">
        <v>17</v>
      </c>
      <c r="B18" s="79">
        <v>0</v>
      </c>
      <c r="C18" s="80"/>
      <c r="D18" s="82"/>
      <c r="E18" s="82"/>
      <c r="G18" s="18">
        <v>31</v>
      </c>
      <c r="H18" s="19" t="s">
        <v>42</v>
      </c>
      <c r="I18" s="20">
        <f>VLOOKUP(H18,O7:P20,2,FALSE)</f>
        <v>31</v>
      </c>
      <c r="J18" s="20">
        <f>G18</f>
        <v>31</v>
      </c>
      <c r="K18" s="18">
        <v>0</v>
      </c>
      <c r="L18" s="21">
        <f>ROUND(K18*J18/I18,2)</f>
        <v>0</v>
      </c>
      <c r="N18" s="11"/>
      <c r="O18" s="10" t="s">
        <v>40</v>
      </c>
      <c r="P18" s="16">
        <v>31</v>
      </c>
      <c r="Q18" s="11"/>
    </row>
    <row r="19" spans="1:17" ht="15" thickTop="1" x14ac:dyDescent="0.2">
      <c r="A19" s="7" t="s">
        <v>18</v>
      </c>
      <c r="B19" s="79">
        <v>0</v>
      </c>
      <c r="C19" s="80"/>
      <c r="D19" s="83"/>
      <c r="E19" s="83"/>
      <c r="N19" s="11"/>
      <c r="O19" s="10" t="s">
        <v>41</v>
      </c>
      <c r="P19" s="16">
        <v>30</v>
      </c>
      <c r="Q19" s="11"/>
    </row>
    <row r="20" spans="1:17" ht="15" x14ac:dyDescent="0.25">
      <c r="A20" s="1" t="s">
        <v>19</v>
      </c>
      <c r="B20" s="22">
        <f>SUM(B8:B19)</f>
        <v>0</v>
      </c>
      <c r="N20" s="11"/>
      <c r="O20" s="10" t="s">
        <v>42</v>
      </c>
      <c r="P20" s="16">
        <v>31</v>
      </c>
      <c r="Q20" s="11"/>
    </row>
    <row r="21" spans="1:17" x14ac:dyDescent="0.2">
      <c r="N21" s="11"/>
      <c r="O21" s="10"/>
      <c r="P21" s="10"/>
      <c r="Q21" s="11"/>
    </row>
    <row r="22" spans="1:17" ht="15" x14ac:dyDescent="0.25">
      <c r="A22" s="23" t="s">
        <v>74</v>
      </c>
      <c r="B22" s="13"/>
      <c r="C22" s="13"/>
      <c r="D22" s="13"/>
      <c r="E22" s="13"/>
    </row>
    <row r="23" spans="1:17" ht="20.25" customHeight="1" x14ac:dyDescent="0.2">
      <c r="A23" s="88" t="s">
        <v>71</v>
      </c>
      <c r="B23" s="88"/>
      <c r="C23" s="88"/>
      <c r="D23" s="88"/>
      <c r="E23" s="88"/>
    </row>
    <row r="24" spans="1:17" s="25" customFormat="1" ht="28.5" customHeight="1" x14ac:dyDescent="0.25">
      <c r="A24" s="89" t="s">
        <v>72</v>
      </c>
      <c r="B24" s="89"/>
      <c r="C24" s="89"/>
      <c r="D24" s="89"/>
      <c r="E24" s="89"/>
    </row>
    <row r="25" spans="1:17" x14ac:dyDescent="0.2">
      <c r="A25" s="90" t="s">
        <v>73</v>
      </c>
      <c r="B25" s="90"/>
      <c r="C25" s="90"/>
      <c r="D25" s="90"/>
      <c r="E25" s="90"/>
    </row>
    <row r="26" spans="1:17" ht="15" x14ac:dyDescent="0.25">
      <c r="A26" s="91" t="s">
        <v>66</v>
      </c>
      <c r="B26" s="91"/>
      <c r="C26" s="91"/>
      <c r="D26" s="91"/>
      <c r="E26" s="91"/>
    </row>
    <row r="27" spans="1:17" s="25" customFormat="1" ht="21.75" customHeight="1" x14ac:dyDescent="0.25">
      <c r="A27" s="92" t="s">
        <v>67</v>
      </c>
      <c r="B27" s="92"/>
      <c r="C27" s="92"/>
      <c r="D27" s="92"/>
      <c r="E27" s="92"/>
    </row>
    <row r="28" spans="1:17" ht="63.75" customHeight="1" x14ac:dyDescent="0.2">
      <c r="A28" s="94" t="s">
        <v>75</v>
      </c>
      <c r="B28" s="94"/>
      <c r="C28" s="94"/>
      <c r="D28" s="94"/>
      <c r="E28" s="94"/>
    </row>
    <row r="29" spans="1:17" ht="39" customHeight="1" x14ac:dyDescent="0.2">
      <c r="A29" s="94" t="s">
        <v>76</v>
      </c>
      <c r="B29" s="94"/>
      <c r="C29" s="94"/>
      <c r="D29" s="94"/>
      <c r="E29" s="94"/>
    </row>
    <row r="30" spans="1:17" ht="35.25" customHeight="1" x14ac:dyDescent="0.2">
      <c r="A30" s="93" t="s">
        <v>87</v>
      </c>
      <c r="B30" s="93"/>
      <c r="C30" s="93"/>
      <c r="D30" s="93"/>
      <c r="E30" s="93"/>
    </row>
    <row r="31" spans="1:17" ht="57" customHeight="1" x14ac:dyDescent="0.2">
      <c r="A31" s="93" t="s">
        <v>89</v>
      </c>
      <c r="B31" s="93"/>
      <c r="C31" s="93"/>
      <c r="D31" s="93"/>
      <c r="E31" s="93"/>
    </row>
    <row r="32" spans="1:17" ht="45.75" customHeight="1" x14ac:dyDescent="0.2">
      <c r="A32" s="93" t="s">
        <v>88</v>
      </c>
      <c r="B32" s="93"/>
      <c r="C32" s="93"/>
      <c r="D32" s="93"/>
      <c r="E32" s="93"/>
    </row>
    <row r="33" spans="1:5" x14ac:dyDescent="0.2">
      <c r="A33" s="93"/>
      <c r="B33" s="93"/>
      <c r="C33" s="93"/>
      <c r="D33" s="93"/>
      <c r="E33" s="93"/>
    </row>
  </sheetData>
  <mergeCells count="16">
    <mergeCell ref="A31:E31"/>
    <mergeCell ref="A33:E33"/>
    <mergeCell ref="A32:E32"/>
    <mergeCell ref="A28:E28"/>
    <mergeCell ref="A29:E29"/>
    <mergeCell ref="A30:E30"/>
    <mergeCell ref="A23:E23"/>
    <mergeCell ref="A24:E24"/>
    <mergeCell ref="A25:E25"/>
    <mergeCell ref="A26:E26"/>
    <mergeCell ref="A27:E27"/>
    <mergeCell ref="B1:D1"/>
    <mergeCell ref="B2:D2"/>
    <mergeCell ref="B3:D3"/>
    <mergeCell ref="B4:D4"/>
    <mergeCell ref="B5:D5"/>
  </mergeCells>
  <conditionalFormatting sqref="G12">
    <cfRule type="cellIs" dxfId="92" priority="2" operator="greaterThan">
      <formula>#REF!</formula>
    </cfRule>
  </conditionalFormatting>
  <conditionalFormatting sqref="G18">
    <cfRule type="cellIs" dxfId="91" priority="1" operator="greaterThan">
      <formula>#REF!</formula>
    </cfRule>
  </conditionalFormatting>
  <dataValidations count="5">
    <dataValidation type="decimal" allowBlank="1" showInputMessage="1" showErrorMessage="1" errorTitle="Falsche Eingabe" error="Es können nur die Zahlen 0 bis 82 eingegeben werden." promptTitle="Stunden pro Monat" prompt="Es können 0 bis 82 Stunden pro Monat eingegeben werden." sqref="B8:B19" xr:uid="{00000000-0002-0000-0000-000000000000}">
      <formula1>0</formula1>
      <formula2>82</formula2>
    </dataValidation>
    <dataValidation type="list" allowBlank="1" showInputMessage="1" showErrorMessage="1" promptTitle="Beschäftigung als" prompt="SHK_x000a_WHK" sqref="B4" xr:uid="{00000000-0002-0000-0000-000001000000}">
      <formula1>$H$4:$H$5</formula1>
    </dataValidation>
    <dataValidation type="whole" allowBlank="1" showInputMessage="1" showErrorMessage="1" promptTitle="Eingabe des ersten Arbeitstages" prompt="1 bis max. 31" sqref="G12" xr:uid="{00000000-0002-0000-0000-000002000000}">
      <formula1>1</formula1>
      <formula2>31</formula2>
    </dataValidation>
    <dataValidation type="whole" allowBlank="1" showInputMessage="1" showErrorMessage="1" promptTitle="Eingabe des letzten Arbeitstages" prompt="1 bis max. 31" sqref="G18" xr:uid="{00000000-0002-0000-0000-000003000000}">
      <formula1>1</formula1>
      <formula2>31</formula2>
    </dataValidation>
    <dataValidation type="list" allowBlank="1" showInputMessage="1" showErrorMessage="1" sqref="H18 H12" xr:uid="{00000000-0002-0000-0000-000004000000}">
      <formula1>$O$8:$O$20</formula1>
    </dataValidation>
  </dataValidations>
  <pageMargins left="0.70866141732283472" right="0.70866141732283472" top="1.2204724409448819" bottom="0.78740157480314965" header="0.6692913385826772" footer="0.31496062992125984"/>
  <pageSetup paperSize="9" orientation="portrait" horizont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tabColor theme="6" tint="0.39997558519241921"/>
  </sheetPr>
  <dimension ref="A1:H46"/>
  <sheetViews>
    <sheetView topLeftCell="A13" workbookViewId="0">
      <selection activeCell="D42" sqref="D42:E42"/>
    </sheetView>
  </sheetViews>
  <sheetFormatPr baseColWidth="10" defaultColWidth="11.42578125" defaultRowHeight="14.25" x14ac:dyDescent="0.2"/>
  <cols>
    <col min="1" max="1" width="23.5703125" style="2" bestFit="1" customWidth="1"/>
    <col min="2" max="5" width="11.5703125" style="2" bestFit="1" customWidth="1"/>
    <col min="6" max="6" width="19.28515625" style="2" customWidth="1"/>
    <col min="7" max="7" width="4" style="2" customWidth="1"/>
    <col min="8" max="16384" width="11.42578125" style="2"/>
  </cols>
  <sheetData>
    <row r="1" spans="1:8" ht="15" customHeight="1" x14ac:dyDescent="0.25">
      <c r="A1" s="1" t="s">
        <v>2</v>
      </c>
      <c r="B1" s="104" t="str">
        <f>'Grunddaten &amp; Hinweise'!B1</f>
        <v>Max Mustermann</v>
      </c>
      <c r="C1" s="104"/>
      <c r="D1" s="104"/>
      <c r="E1" s="104"/>
      <c r="H1" s="8"/>
    </row>
    <row r="2" spans="1:8" ht="30.2" customHeight="1" x14ac:dyDescent="0.2">
      <c r="A2" s="3" t="s">
        <v>5</v>
      </c>
      <c r="B2" s="101" t="str">
        <f>'Grunddaten &amp; Hinweise'!B2</f>
        <v>Musterinstitut</v>
      </c>
      <c r="C2" s="101"/>
      <c r="D2" s="101"/>
      <c r="E2" s="101"/>
    </row>
    <row r="3" spans="1:8" ht="15" customHeight="1" x14ac:dyDescent="0.2">
      <c r="A3" s="3" t="s">
        <v>6</v>
      </c>
      <c r="B3" s="102" t="str">
        <f>'Grunddaten &amp; Hinweise'!B3</f>
        <v>Max Mustermann</v>
      </c>
      <c r="C3" s="102"/>
      <c r="D3" s="102"/>
      <c r="E3" s="102"/>
      <c r="H3" s="34"/>
    </row>
    <row r="4" spans="1:8" ht="15" customHeight="1" x14ac:dyDescent="0.2">
      <c r="A4" s="3" t="s">
        <v>29</v>
      </c>
      <c r="B4" s="103" t="str">
        <f>'Grunddaten &amp; Hinweise'!B4</f>
        <v>Studentische Hilfskraft</v>
      </c>
      <c r="C4" s="103"/>
      <c r="D4" s="103"/>
      <c r="E4" s="103"/>
    </row>
    <row r="5" spans="1:8" ht="15" customHeight="1" x14ac:dyDescent="0.25">
      <c r="E5" s="35" t="s">
        <v>64</v>
      </c>
    </row>
    <row r="6" spans="1:8" ht="15" customHeight="1" x14ac:dyDescent="0.25">
      <c r="A6" s="24" t="s">
        <v>0</v>
      </c>
      <c r="B6" s="24" t="s">
        <v>58</v>
      </c>
      <c r="C6" s="24" t="s">
        <v>59</v>
      </c>
      <c r="D6" s="24" t="s">
        <v>1</v>
      </c>
      <c r="E6" s="6" t="s">
        <v>65</v>
      </c>
      <c r="F6" s="50" t="s">
        <v>26</v>
      </c>
      <c r="G6" s="41"/>
    </row>
    <row r="7" spans="1:8" ht="15" customHeight="1" x14ac:dyDescent="0.2">
      <c r="A7" s="38">
        <f>DATE('Grunddaten &amp; Hinweise'!$B$5,8,1)</f>
        <v>45505</v>
      </c>
      <c r="B7" s="39">
        <v>0</v>
      </c>
      <c r="C7" s="39">
        <v>0</v>
      </c>
      <c r="D7" s="39">
        <v>0</v>
      </c>
      <c r="E7" s="40">
        <f>C7-B7-D7</f>
        <v>0</v>
      </c>
      <c r="F7" s="19"/>
    </row>
    <row r="8" spans="1:8" ht="15" customHeight="1" x14ac:dyDescent="0.2">
      <c r="A8" s="38">
        <f>DATE('Grunddaten &amp; Hinweise'!$B$5,8,2)</f>
        <v>45506</v>
      </c>
      <c r="B8" s="39">
        <v>0</v>
      </c>
      <c r="C8" s="39">
        <v>0</v>
      </c>
      <c r="D8" s="39">
        <v>0</v>
      </c>
      <c r="E8" s="40">
        <f>C8-B8-D8</f>
        <v>0</v>
      </c>
      <c r="F8" s="19"/>
    </row>
    <row r="9" spans="1:8" ht="15" customHeight="1" x14ac:dyDescent="0.2">
      <c r="A9" s="38">
        <f>DATE('Grunddaten &amp; Hinweise'!$B$5,8,3)</f>
        <v>45507</v>
      </c>
      <c r="B9" s="39">
        <v>0</v>
      </c>
      <c r="C9" s="39">
        <v>0</v>
      </c>
      <c r="D9" s="39">
        <v>0</v>
      </c>
      <c r="E9" s="40">
        <f t="shared" ref="E9:E37" si="0">C9-B9-D9</f>
        <v>0</v>
      </c>
      <c r="F9" s="19"/>
    </row>
    <row r="10" spans="1:8" ht="15" customHeight="1" x14ac:dyDescent="0.2">
      <c r="A10" s="38">
        <f>DATE('Grunddaten &amp; Hinweise'!$B$5,8,4)</f>
        <v>45508</v>
      </c>
      <c r="B10" s="39">
        <v>0</v>
      </c>
      <c r="C10" s="39">
        <v>0</v>
      </c>
      <c r="D10" s="39">
        <v>0</v>
      </c>
      <c r="E10" s="40">
        <f t="shared" si="0"/>
        <v>0</v>
      </c>
      <c r="F10" s="19"/>
    </row>
    <row r="11" spans="1:8" ht="15" customHeight="1" x14ac:dyDescent="0.2">
      <c r="A11" s="38">
        <f>DATE('Grunddaten &amp; Hinweise'!$B$5,8,5)</f>
        <v>45509</v>
      </c>
      <c r="B11" s="39">
        <v>0</v>
      </c>
      <c r="C11" s="39">
        <v>0</v>
      </c>
      <c r="D11" s="39">
        <v>0</v>
      </c>
      <c r="E11" s="40">
        <f t="shared" si="0"/>
        <v>0</v>
      </c>
      <c r="F11" s="19"/>
    </row>
    <row r="12" spans="1:8" ht="15" customHeight="1" x14ac:dyDescent="0.2">
      <c r="A12" s="38">
        <f>DATE('Grunddaten &amp; Hinweise'!$B$5,8,6)</f>
        <v>45510</v>
      </c>
      <c r="B12" s="39">
        <v>0</v>
      </c>
      <c r="C12" s="39">
        <v>0</v>
      </c>
      <c r="D12" s="39">
        <v>0</v>
      </c>
      <c r="E12" s="40">
        <f t="shared" si="0"/>
        <v>0</v>
      </c>
      <c r="F12" s="19"/>
    </row>
    <row r="13" spans="1:8" ht="15" customHeight="1" x14ac:dyDescent="0.2">
      <c r="A13" s="38">
        <f>DATE('Grunddaten &amp; Hinweise'!$B$5,8,7)</f>
        <v>45511</v>
      </c>
      <c r="B13" s="39">
        <v>0</v>
      </c>
      <c r="C13" s="39">
        <v>0</v>
      </c>
      <c r="D13" s="39">
        <v>0</v>
      </c>
      <c r="E13" s="40">
        <f t="shared" si="0"/>
        <v>0</v>
      </c>
      <c r="F13" s="19"/>
    </row>
    <row r="14" spans="1:8" ht="15" customHeight="1" x14ac:dyDescent="0.2">
      <c r="A14" s="38">
        <f>DATE('Grunddaten &amp; Hinweise'!$B$5,8,8)</f>
        <v>45512</v>
      </c>
      <c r="B14" s="39">
        <v>0</v>
      </c>
      <c r="C14" s="39">
        <v>0</v>
      </c>
      <c r="D14" s="39">
        <v>0</v>
      </c>
      <c r="E14" s="40">
        <f t="shared" si="0"/>
        <v>0</v>
      </c>
      <c r="F14" s="19"/>
    </row>
    <row r="15" spans="1:8" ht="15" customHeight="1" x14ac:dyDescent="0.2">
      <c r="A15" s="38">
        <f>DATE('Grunddaten &amp; Hinweise'!$B$5,8,9)</f>
        <v>45513</v>
      </c>
      <c r="B15" s="39">
        <v>0</v>
      </c>
      <c r="C15" s="39">
        <v>0</v>
      </c>
      <c r="D15" s="39">
        <v>0</v>
      </c>
      <c r="E15" s="40">
        <f t="shared" si="0"/>
        <v>0</v>
      </c>
      <c r="F15" s="19"/>
    </row>
    <row r="16" spans="1:8" ht="15" customHeight="1" x14ac:dyDescent="0.2">
      <c r="A16" s="38">
        <f>DATE('Grunddaten &amp; Hinweise'!$B$5,8,10)</f>
        <v>45514</v>
      </c>
      <c r="B16" s="39">
        <v>0</v>
      </c>
      <c r="C16" s="39">
        <v>0</v>
      </c>
      <c r="D16" s="39">
        <v>0</v>
      </c>
      <c r="E16" s="40">
        <f t="shared" si="0"/>
        <v>0</v>
      </c>
      <c r="F16" s="19"/>
    </row>
    <row r="17" spans="1:6" ht="15" customHeight="1" x14ac:dyDescent="0.2">
      <c r="A17" s="38">
        <f>DATE('Grunddaten &amp; Hinweise'!$B$5,8,11)</f>
        <v>45515</v>
      </c>
      <c r="B17" s="39">
        <v>0</v>
      </c>
      <c r="C17" s="39">
        <v>0</v>
      </c>
      <c r="D17" s="39">
        <v>0</v>
      </c>
      <c r="E17" s="40">
        <f t="shared" si="0"/>
        <v>0</v>
      </c>
      <c r="F17" s="19"/>
    </row>
    <row r="18" spans="1:6" ht="15" customHeight="1" x14ac:dyDescent="0.2">
      <c r="A18" s="38">
        <f>DATE('Grunddaten &amp; Hinweise'!$B$5,8,12)</f>
        <v>45516</v>
      </c>
      <c r="B18" s="39">
        <v>0</v>
      </c>
      <c r="C18" s="39">
        <v>0</v>
      </c>
      <c r="D18" s="39">
        <v>0</v>
      </c>
      <c r="E18" s="40">
        <f t="shared" si="0"/>
        <v>0</v>
      </c>
      <c r="F18" s="19"/>
    </row>
    <row r="19" spans="1:6" ht="15" customHeight="1" x14ac:dyDescent="0.2">
      <c r="A19" s="38">
        <f>DATE('Grunddaten &amp; Hinweise'!$B$5,8,13)</f>
        <v>45517</v>
      </c>
      <c r="B19" s="39">
        <v>0</v>
      </c>
      <c r="C19" s="39">
        <v>0</v>
      </c>
      <c r="D19" s="39">
        <v>0</v>
      </c>
      <c r="E19" s="40">
        <f t="shared" si="0"/>
        <v>0</v>
      </c>
      <c r="F19" s="19"/>
    </row>
    <row r="20" spans="1:6" ht="15" customHeight="1" x14ac:dyDescent="0.2">
      <c r="A20" s="38">
        <f>DATE('Grunddaten &amp; Hinweise'!$B$5,8,14)</f>
        <v>45518</v>
      </c>
      <c r="B20" s="39">
        <v>0</v>
      </c>
      <c r="C20" s="39">
        <v>0</v>
      </c>
      <c r="D20" s="39">
        <v>0</v>
      </c>
      <c r="E20" s="40">
        <f t="shared" si="0"/>
        <v>0</v>
      </c>
      <c r="F20" s="19"/>
    </row>
    <row r="21" spans="1:6" ht="15" customHeight="1" x14ac:dyDescent="0.2">
      <c r="A21" s="38">
        <f>DATE('Grunddaten &amp; Hinweise'!$B$5,8,15)</f>
        <v>45519</v>
      </c>
      <c r="B21" s="39">
        <v>0</v>
      </c>
      <c r="C21" s="39">
        <v>0</v>
      </c>
      <c r="D21" s="39">
        <v>0</v>
      </c>
      <c r="E21" s="40">
        <f t="shared" si="0"/>
        <v>0</v>
      </c>
      <c r="F21" s="19"/>
    </row>
    <row r="22" spans="1:6" ht="15" customHeight="1" x14ac:dyDescent="0.2">
      <c r="A22" s="38">
        <f>DATE('Grunddaten &amp; Hinweise'!$B$5,8,16)</f>
        <v>45520</v>
      </c>
      <c r="B22" s="39">
        <v>0</v>
      </c>
      <c r="C22" s="39">
        <v>0</v>
      </c>
      <c r="D22" s="39">
        <v>0</v>
      </c>
      <c r="E22" s="40">
        <f t="shared" si="0"/>
        <v>0</v>
      </c>
      <c r="F22" s="19"/>
    </row>
    <row r="23" spans="1:6" ht="15" customHeight="1" x14ac:dyDescent="0.2">
      <c r="A23" s="38">
        <f>DATE('Grunddaten &amp; Hinweise'!$B$5,8,17)</f>
        <v>45521</v>
      </c>
      <c r="B23" s="39">
        <v>0</v>
      </c>
      <c r="C23" s="39">
        <v>0</v>
      </c>
      <c r="D23" s="39">
        <v>0</v>
      </c>
      <c r="E23" s="40">
        <f t="shared" si="0"/>
        <v>0</v>
      </c>
      <c r="F23" s="19"/>
    </row>
    <row r="24" spans="1:6" ht="15" customHeight="1" x14ac:dyDescent="0.2">
      <c r="A24" s="38">
        <f>DATE('Grunddaten &amp; Hinweise'!$B$5,8,18)</f>
        <v>45522</v>
      </c>
      <c r="B24" s="39">
        <v>0</v>
      </c>
      <c r="C24" s="39">
        <v>0</v>
      </c>
      <c r="D24" s="39">
        <v>0</v>
      </c>
      <c r="E24" s="40">
        <f t="shared" si="0"/>
        <v>0</v>
      </c>
      <c r="F24" s="19"/>
    </row>
    <row r="25" spans="1:6" ht="15" customHeight="1" x14ac:dyDescent="0.2">
      <c r="A25" s="38">
        <f>DATE('Grunddaten &amp; Hinweise'!$B$5,8,19)</f>
        <v>45523</v>
      </c>
      <c r="B25" s="39">
        <v>0</v>
      </c>
      <c r="C25" s="39">
        <v>0</v>
      </c>
      <c r="D25" s="39">
        <v>0</v>
      </c>
      <c r="E25" s="40">
        <f t="shared" si="0"/>
        <v>0</v>
      </c>
      <c r="F25" s="19"/>
    </row>
    <row r="26" spans="1:6" ht="15" customHeight="1" x14ac:dyDescent="0.2">
      <c r="A26" s="38">
        <f>DATE('Grunddaten &amp; Hinweise'!$B$5,8,20)</f>
        <v>45524</v>
      </c>
      <c r="B26" s="39">
        <v>0</v>
      </c>
      <c r="C26" s="39">
        <v>0</v>
      </c>
      <c r="D26" s="39">
        <v>0</v>
      </c>
      <c r="E26" s="40">
        <f t="shared" si="0"/>
        <v>0</v>
      </c>
      <c r="F26" s="19"/>
    </row>
    <row r="27" spans="1:6" ht="15" customHeight="1" x14ac:dyDescent="0.2">
      <c r="A27" s="38">
        <f>DATE('Grunddaten &amp; Hinweise'!$B$5,8,21)</f>
        <v>45525</v>
      </c>
      <c r="B27" s="39">
        <v>0</v>
      </c>
      <c r="C27" s="39">
        <v>0</v>
      </c>
      <c r="D27" s="39">
        <v>0</v>
      </c>
      <c r="E27" s="40">
        <f t="shared" si="0"/>
        <v>0</v>
      </c>
      <c r="F27" s="19"/>
    </row>
    <row r="28" spans="1:6" ht="15" customHeight="1" x14ac:dyDescent="0.2">
      <c r="A28" s="38">
        <f>DATE('Grunddaten &amp; Hinweise'!$B$5,8,22)</f>
        <v>45526</v>
      </c>
      <c r="B28" s="39">
        <v>0</v>
      </c>
      <c r="C28" s="39">
        <v>0</v>
      </c>
      <c r="D28" s="39">
        <v>0</v>
      </c>
      <c r="E28" s="40">
        <f t="shared" si="0"/>
        <v>0</v>
      </c>
      <c r="F28" s="19"/>
    </row>
    <row r="29" spans="1:6" ht="15" customHeight="1" x14ac:dyDescent="0.2">
      <c r="A29" s="38">
        <f>DATE('Grunddaten &amp; Hinweise'!$B$5,8,23)</f>
        <v>45527</v>
      </c>
      <c r="B29" s="39">
        <v>0</v>
      </c>
      <c r="C29" s="39">
        <v>0</v>
      </c>
      <c r="D29" s="39">
        <v>0</v>
      </c>
      <c r="E29" s="40">
        <f t="shared" si="0"/>
        <v>0</v>
      </c>
      <c r="F29" s="19"/>
    </row>
    <row r="30" spans="1:6" ht="15" customHeight="1" x14ac:dyDescent="0.2">
      <c r="A30" s="38">
        <f>DATE('Grunddaten &amp; Hinweise'!$B$5,8,24)</f>
        <v>45528</v>
      </c>
      <c r="B30" s="39">
        <v>0</v>
      </c>
      <c r="C30" s="39">
        <v>0</v>
      </c>
      <c r="D30" s="39">
        <v>0</v>
      </c>
      <c r="E30" s="40">
        <f t="shared" si="0"/>
        <v>0</v>
      </c>
      <c r="F30" s="19"/>
    </row>
    <row r="31" spans="1:6" ht="15" customHeight="1" x14ac:dyDescent="0.2">
      <c r="A31" s="38">
        <f>DATE('Grunddaten &amp; Hinweise'!$B$5,8,25)</f>
        <v>45529</v>
      </c>
      <c r="B31" s="39">
        <v>0</v>
      </c>
      <c r="C31" s="39">
        <v>0</v>
      </c>
      <c r="D31" s="39">
        <v>0</v>
      </c>
      <c r="E31" s="40">
        <f t="shared" si="0"/>
        <v>0</v>
      </c>
      <c r="F31" s="19"/>
    </row>
    <row r="32" spans="1:6" ht="15" customHeight="1" x14ac:dyDescent="0.2">
      <c r="A32" s="38">
        <f>DATE('Grunddaten &amp; Hinweise'!$B$5,8,26)</f>
        <v>45530</v>
      </c>
      <c r="B32" s="39">
        <v>0</v>
      </c>
      <c r="C32" s="39">
        <v>0</v>
      </c>
      <c r="D32" s="39">
        <v>0</v>
      </c>
      <c r="E32" s="40">
        <f t="shared" si="0"/>
        <v>0</v>
      </c>
      <c r="F32" s="19"/>
    </row>
    <row r="33" spans="1:6" ht="15" customHeight="1" x14ac:dyDescent="0.2">
      <c r="A33" s="38">
        <f>DATE('Grunddaten &amp; Hinweise'!$B$5,8,27)</f>
        <v>45531</v>
      </c>
      <c r="B33" s="39">
        <v>0</v>
      </c>
      <c r="C33" s="39">
        <v>0</v>
      </c>
      <c r="D33" s="39">
        <v>0</v>
      </c>
      <c r="E33" s="40">
        <f t="shared" si="0"/>
        <v>0</v>
      </c>
      <c r="F33" s="19"/>
    </row>
    <row r="34" spans="1:6" ht="15" customHeight="1" x14ac:dyDescent="0.2">
      <c r="A34" s="38">
        <f>DATE('Grunddaten &amp; Hinweise'!$B$5,8,28)</f>
        <v>45532</v>
      </c>
      <c r="B34" s="39">
        <v>0</v>
      </c>
      <c r="C34" s="39">
        <v>0</v>
      </c>
      <c r="D34" s="39">
        <v>0</v>
      </c>
      <c r="E34" s="40">
        <f t="shared" si="0"/>
        <v>0</v>
      </c>
      <c r="F34" s="19"/>
    </row>
    <row r="35" spans="1:6" ht="15" customHeight="1" x14ac:dyDescent="0.2">
      <c r="A35" s="38">
        <f>DATE('Grunddaten &amp; Hinweise'!$B$5,8,29)</f>
        <v>45533</v>
      </c>
      <c r="B35" s="39">
        <v>0</v>
      </c>
      <c r="C35" s="39">
        <v>0</v>
      </c>
      <c r="D35" s="39">
        <v>0</v>
      </c>
      <c r="E35" s="40">
        <f t="shared" si="0"/>
        <v>0</v>
      </c>
      <c r="F35" s="19"/>
    </row>
    <row r="36" spans="1:6" ht="15" customHeight="1" x14ac:dyDescent="0.2">
      <c r="A36" s="38">
        <f>DATE('Grunddaten &amp; Hinweise'!$B$5,8,30)</f>
        <v>45534</v>
      </c>
      <c r="B36" s="39">
        <v>0</v>
      </c>
      <c r="C36" s="39">
        <v>0</v>
      </c>
      <c r="D36" s="39">
        <v>0</v>
      </c>
      <c r="E36" s="40">
        <f t="shared" si="0"/>
        <v>0</v>
      </c>
      <c r="F36" s="19"/>
    </row>
    <row r="37" spans="1:6" ht="15" customHeight="1" x14ac:dyDescent="0.2">
      <c r="A37" s="42">
        <f>DATE('Grunddaten &amp; Hinweise'!$B$5,8,31)</f>
        <v>45535</v>
      </c>
      <c r="B37" s="43">
        <v>0</v>
      </c>
      <c r="C37" s="43">
        <v>0</v>
      </c>
      <c r="D37" s="43">
        <v>0</v>
      </c>
      <c r="E37" s="44">
        <f t="shared" si="0"/>
        <v>0</v>
      </c>
      <c r="F37" s="45"/>
    </row>
    <row r="38" spans="1:6" ht="15" customHeight="1" x14ac:dyDescent="0.2">
      <c r="A38" s="38"/>
      <c r="B38" s="46"/>
      <c r="C38" s="46"/>
      <c r="D38" s="46"/>
      <c r="E38" s="47">
        <f>SUM(E7:E37)</f>
        <v>0</v>
      </c>
    </row>
    <row r="39" spans="1:6" ht="15" customHeight="1" thickBot="1" x14ac:dyDescent="0.25"/>
    <row r="40" spans="1:6" ht="15" customHeight="1" thickBot="1" x14ac:dyDescent="0.25">
      <c r="C40" s="4"/>
      <c r="D40" s="48" t="s">
        <v>22</v>
      </c>
      <c r="E40" s="49">
        <f>SUM(E7:E37)*24</f>
        <v>0</v>
      </c>
      <c r="F40" s="2" t="s">
        <v>21</v>
      </c>
    </row>
    <row r="41" spans="1:6" ht="15" customHeight="1" thickBot="1" x14ac:dyDescent="0.25">
      <c r="C41" s="4"/>
      <c r="D41" s="48" t="s">
        <v>23</v>
      </c>
      <c r="E41" s="49">
        <f>'Grunddaten &amp; Hinweise'!B15</f>
        <v>0</v>
      </c>
      <c r="F41" s="2" t="s">
        <v>21</v>
      </c>
    </row>
    <row r="42" spans="1:6" ht="15" customHeight="1" thickBot="1" x14ac:dyDescent="0.3">
      <c r="C42" s="4"/>
      <c r="D42" s="53" t="s">
        <v>86</v>
      </c>
      <c r="E42" s="51">
        <f>E40-E41</f>
        <v>0</v>
      </c>
      <c r="F42" s="2" t="s">
        <v>21</v>
      </c>
    </row>
    <row r="43" spans="1:6" ht="15" customHeight="1" x14ac:dyDescent="0.2"/>
    <row r="44" spans="1:6" ht="15" customHeight="1" x14ac:dyDescent="0.2"/>
    <row r="45" spans="1:6" ht="15" customHeight="1" x14ac:dyDescent="0.2">
      <c r="A45" s="4" t="s">
        <v>60</v>
      </c>
      <c r="B45" s="13"/>
      <c r="C45" s="13"/>
      <c r="D45" s="13"/>
    </row>
    <row r="46" spans="1:6" ht="15" customHeight="1" x14ac:dyDescent="0.2"/>
  </sheetData>
  <mergeCells count="4">
    <mergeCell ref="B1:E1"/>
    <mergeCell ref="B2:E2"/>
    <mergeCell ref="B3:E3"/>
    <mergeCell ref="B4:E4"/>
  </mergeCells>
  <conditionalFormatting sqref="A38">
    <cfRule type="timePeriod" dxfId="39" priority="5" timePeriod="today">
      <formula>FLOOR(A38,1)=TODAY()</formula>
    </cfRule>
    <cfRule type="expression" dxfId="38" priority="6">
      <formula>OR(WEEKDAY(A38,1)=7,WEEKDAY(A38,1)=1)</formula>
    </cfRule>
  </conditionalFormatting>
  <conditionalFormatting sqref="B7:E37 B38:D38">
    <cfRule type="cellIs" dxfId="37" priority="4" operator="equal">
      <formula>0</formula>
    </cfRule>
  </conditionalFormatting>
  <conditionalFormatting sqref="E38">
    <cfRule type="cellIs" dxfId="36" priority="3" operator="equal">
      <formula>0</formula>
    </cfRule>
  </conditionalFormatting>
  <conditionalFormatting sqref="A7:A37">
    <cfRule type="timePeriod" dxfId="35" priority="1" timePeriod="today">
      <formula>FLOOR(A7,1)=TODAY()</formula>
    </cfRule>
    <cfRule type="expression" dxfId="34" priority="2">
      <formula>OR(WEEKDAY(A7,1)=7,WEEKDAY(A7,1)=1)</formula>
    </cfRule>
  </conditionalFormatting>
  <pageMargins left="0.70866141732283472" right="0.70866141732283472" top="1.2204724409448819" bottom="0.78740157480314965" header="0.6692913385826772" footer="0.31496062992125984"/>
  <pageSetup paperSize="9" orientation="portrait" horizontalDpi="4294967294" r:id="rId1"/>
  <headerFooter>
    <oddHeader>&amp;LStundennachweis über die geleistete Monatsarbeitszeit</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theme="6" tint="0.39997558519241921"/>
  </sheetPr>
  <dimension ref="A1:H46"/>
  <sheetViews>
    <sheetView workbookViewId="0">
      <selection activeCell="D42" sqref="D42:E42"/>
    </sheetView>
  </sheetViews>
  <sheetFormatPr baseColWidth="10" defaultColWidth="11.42578125" defaultRowHeight="14.25" x14ac:dyDescent="0.2"/>
  <cols>
    <col min="1" max="1" width="23.5703125" style="2" bestFit="1" customWidth="1"/>
    <col min="2" max="5" width="11.5703125" style="2" bestFit="1" customWidth="1"/>
    <col min="6" max="6" width="19.28515625" style="2" customWidth="1"/>
    <col min="7" max="7" width="4" style="2" customWidth="1"/>
    <col min="8" max="16384" width="11.42578125" style="2"/>
  </cols>
  <sheetData>
    <row r="1" spans="1:8" ht="15" customHeight="1" x14ac:dyDescent="0.25">
      <c r="A1" s="1" t="s">
        <v>2</v>
      </c>
      <c r="B1" s="104" t="str">
        <f>'Grunddaten &amp; Hinweise'!B1</f>
        <v>Max Mustermann</v>
      </c>
      <c r="C1" s="104"/>
      <c r="D1" s="104"/>
      <c r="E1" s="104"/>
      <c r="H1" s="8"/>
    </row>
    <row r="2" spans="1:8" ht="30.2" customHeight="1" x14ac:dyDescent="0.2">
      <c r="A2" s="3" t="s">
        <v>5</v>
      </c>
      <c r="B2" s="101" t="str">
        <f>'Grunddaten &amp; Hinweise'!B2</f>
        <v>Musterinstitut</v>
      </c>
      <c r="C2" s="101"/>
      <c r="D2" s="101"/>
      <c r="E2" s="101"/>
    </row>
    <row r="3" spans="1:8" ht="15" customHeight="1" x14ac:dyDescent="0.2">
      <c r="A3" s="3" t="s">
        <v>6</v>
      </c>
      <c r="B3" s="102" t="str">
        <f>'Grunddaten &amp; Hinweise'!B3</f>
        <v>Max Mustermann</v>
      </c>
      <c r="C3" s="102"/>
      <c r="D3" s="102"/>
      <c r="E3" s="102"/>
      <c r="H3" s="34"/>
    </row>
    <row r="4" spans="1:8" ht="15" customHeight="1" x14ac:dyDescent="0.2">
      <c r="A4" s="3" t="s">
        <v>29</v>
      </c>
      <c r="B4" s="103" t="str">
        <f>'Grunddaten &amp; Hinweise'!B4</f>
        <v>Studentische Hilfskraft</v>
      </c>
      <c r="C4" s="103"/>
      <c r="D4" s="103"/>
      <c r="E4" s="103"/>
    </row>
    <row r="5" spans="1:8" ht="15" customHeight="1" x14ac:dyDescent="0.25">
      <c r="E5" s="35" t="s">
        <v>64</v>
      </c>
    </row>
    <row r="6" spans="1:8" ht="15" customHeight="1" x14ac:dyDescent="0.25">
      <c r="A6" s="24" t="s">
        <v>0</v>
      </c>
      <c r="B6" s="24" t="s">
        <v>58</v>
      </c>
      <c r="C6" s="24" t="s">
        <v>59</v>
      </c>
      <c r="D6" s="24" t="s">
        <v>1</v>
      </c>
      <c r="E6" s="6" t="s">
        <v>65</v>
      </c>
      <c r="F6" s="50" t="s">
        <v>26</v>
      </c>
      <c r="G6" s="41"/>
    </row>
    <row r="7" spans="1:8" ht="15" customHeight="1" x14ac:dyDescent="0.2">
      <c r="A7" s="38">
        <f>DATE('Grunddaten &amp; Hinweise'!$B$5,9,1)</f>
        <v>45536</v>
      </c>
      <c r="B7" s="39">
        <v>0</v>
      </c>
      <c r="C7" s="39">
        <v>0</v>
      </c>
      <c r="D7" s="39">
        <v>0</v>
      </c>
      <c r="E7" s="40">
        <f>C7-B7-D7</f>
        <v>0</v>
      </c>
      <c r="F7" s="19"/>
    </row>
    <row r="8" spans="1:8" ht="15" customHeight="1" x14ac:dyDescent="0.2">
      <c r="A8" s="38">
        <f>DATE('Grunddaten &amp; Hinweise'!$B$5,9,2)</f>
        <v>45537</v>
      </c>
      <c r="B8" s="39">
        <v>0</v>
      </c>
      <c r="C8" s="39">
        <v>0</v>
      </c>
      <c r="D8" s="39">
        <v>0</v>
      </c>
      <c r="E8" s="40">
        <f>C8-B8-D8</f>
        <v>0</v>
      </c>
      <c r="F8" s="19"/>
    </row>
    <row r="9" spans="1:8" ht="15" customHeight="1" x14ac:dyDescent="0.2">
      <c r="A9" s="38">
        <f>DATE('Grunddaten &amp; Hinweise'!$B$5,9,3)</f>
        <v>45538</v>
      </c>
      <c r="B9" s="39">
        <v>0</v>
      </c>
      <c r="C9" s="39">
        <v>0</v>
      </c>
      <c r="D9" s="39">
        <v>0</v>
      </c>
      <c r="E9" s="40">
        <f t="shared" ref="E9:E36" si="0">C9-B9-D9</f>
        <v>0</v>
      </c>
      <c r="F9" s="19"/>
    </row>
    <row r="10" spans="1:8" ht="15" customHeight="1" x14ac:dyDescent="0.2">
      <c r="A10" s="38">
        <f>DATE('Grunddaten &amp; Hinweise'!$B$5,9,4)</f>
        <v>45539</v>
      </c>
      <c r="B10" s="39">
        <v>0</v>
      </c>
      <c r="C10" s="39">
        <v>0</v>
      </c>
      <c r="D10" s="39">
        <v>0</v>
      </c>
      <c r="E10" s="40">
        <f t="shared" si="0"/>
        <v>0</v>
      </c>
      <c r="F10" s="19"/>
    </row>
    <row r="11" spans="1:8" ht="15" customHeight="1" x14ac:dyDescent="0.2">
      <c r="A11" s="38">
        <f>DATE('Grunddaten &amp; Hinweise'!$B$5,9,5)</f>
        <v>45540</v>
      </c>
      <c r="B11" s="39">
        <v>0</v>
      </c>
      <c r="C11" s="39">
        <v>0</v>
      </c>
      <c r="D11" s="39">
        <v>0</v>
      </c>
      <c r="E11" s="40">
        <f t="shared" si="0"/>
        <v>0</v>
      </c>
      <c r="F11" s="19"/>
    </row>
    <row r="12" spans="1:8" ht="15" customHeight="1" x14ac:dyDescent="0.2">
      <c r="A12" s="38">
        <f>DATE('Grunddaten &amp; Hinweise'!$B$5,9,6)</f>
        <v>45541</v>
      </c>
      <c r="B12" s="39">
        <v>0</v>
      </c>
      <c r="C12" s="39">
        <v>0</v>
      </c>
      <c r="D12" s="39">
        <v>0</v>
      </c>
      <c r="E12" s="40">
        <f t="shared" si="0"/>
        <v>0</v>
      </c>
      <c r="F12" s="19"/>
    </row>
    <row r="13" spans="1:8" ht="15" customHeight="1" x14ac:dyDescent="0.2">
      <c r="A13" s="38">
        <f>DATE('Grunddaten &amp; Hinweise'!$B$5,9,7)</f>
        <v>45542</v>
      </c>
      <c r="B13" s="39">
        <v>0</v>
      </c>
      <c r="C13" s="39">
        <v>0</v>
      </c>
      <c r="D13" s="39">
        <v>0</v>
      </c>
      <c r="E13" s="40">
        <f t="shared" si="0"/>
        <v>0</v>
      </c>
      <c r="F13" s="19"/>
    </row>
    <row r="14" spans="1:8" ht="15" customHeight="1" x14ac:dyDescent="0.2">
      <c r="A14" s="38">
        <f>DATE('Grunddaten &amp; Hinweise'!$B$5,9,8)</f>
        <v>45543</v>
      </c>
      <c r="B14" s="39">
        <v>0</v>
      </c>
      <c r="C14" s="39">
        <v>0</v>
      </c>
      <c r="D14" s="39">
        <v>0</v>
      </c>
      <c r="E14" s="40">
        <f t="shared" si="0"/>
        <v>0</v>
      </c>
      <c r="F14" s="19"/>
    </row>
    <row r="15" spans="1:8" ht="15" customHeight="1" x14ac:dyDescent="0.2">
      <c r="A15" s="38">
        <f>DATE('Grunddaten &amp; Hinweise'!$B$5,9,9)</f>
        <v>45544</v>
      </c>
      <c r="B15" s="39">
        <v>0</v>
      </c>
      <c r="C15" s="39">
        <v>0</v>
      </c>
      <c r="D15" s="39">
        <v>0</v>
      </c>
      <c r="E15" s="40">
        <f t="shared" si="0"/>
        <v>0</v>
      </c>
      <c r="F15" s="19"/>
    </row>
    <row r="16" spans="1:8" ht="15" customHeight="1" x14ac:dyDescent="0.2">
      <c r="A16" s="38">
        <f>DATE('Grunddaten &amp; Hinweise'!$B$5,9,10)</f>
        <v>45545</v>
      </c>
      <c r="B16" s="39">
        <v>0</v>
      </c>
      <c r="C16" s="39">
        <v>0</v>
      </c>
      <c r="D16" s="39">
        <v>0</v>
      </c>
      <c r="E16" s="40">
        <f t="shared" si="0"/>
        <v>0</v>
      </c>
      <c r="F16" s="19"/>
    </row>
    <row r="17" spans="1:6" ht="15" customHeight="1" x14ac:dyDescent="0.2">
      <c r="A17" s="38">
        <f>DATE('Grunddaten &amp; Hinweise'!$B$5,9,11)</f>
        <v>45546</v>
      </c>
      <c r="B17" s="39">
        <v>0</v>
      </c>
      <c r="C17" s="39">
        <v>0</v>
      </c>
      <c r="D17" s="39">
        <v>0</v>
      </c>
      <c r="E17" s="40">
        <f t="shared" si="0"/>
        <v>0</v>
      </c>
      <c r="F17" s="19"/>
    </row>
    <row r="18" spans="1:6" ht="15" customHeight="1" x14ac:dyDescent="0.2">
      <c r="A18" s="38">
        <f>DATE('Grunddaten &amp; Hinweise'!$B$5,9,12)</f>
        <v>45547</v>
      </c>
      <c r="B18" s="39">
        <v>0</v>
      </c>
      <c r="C18" s="39">
        <v>0</v>
      </c>
      <c r="D18" s="39">
        <v>0</v>
      </c>
      <c r="E18" s="40">
        <f t="shared" si="0"/>
        <v>0</v>
      </c>
      <c r="F18" s="19"/>
    </row>
    <row r="19" spans="1:6" ht="15" customHeight="1" x14ac:dyDescent="0.2">
      <c r="A19" s="38">
        <f>DATE('Grunddaten &amp; Hinweise'!$B$5,9,13)</f>
        <v>45548</v>
      </c>
      <c r="B19" s="39">
        <v>0</v>
      </c>
      <c r="C19" s="39">
        <v>0</v>
      </c>
      <c r="D19" s="39">
        <v>0</v>
      </c>
      <c r="E19" s="40">
        <f t="shared" si="0"/>
        <v>0</v>
      </c>
      <c r="F19" s="19"/>
    </row>
    <row r="20" spans="1:6" ht="15" customHeight="1" x14ac:dyDescent="0.2">
      <c r="A20" s="38">
        <f>DATE('Grunddaten &amp; Hinweise'!$B$5,9,14)</f>
        <v>45549</v>
      </c>
      <c r="B20" s="39">
        <v>0</v>
      </c>
      <c r="C20" s="39">
        <v>0</v>
      </c>
      <c r="D20" s="39">
        <v>0</v>
      </c>
      <c r="E20" s="40">
        <f t="shared" si="0"/>
        <v>0</v>
      </c>
      <c r="F20" s="19"/>
    </row>
    <row r="21" spans="1:6" ht="15" customHeight="1" x14ac:dyDescent="0.2">
      <c r="A21" s="38">
        <f>DATE('Grunddaten &amp; Hinweise'!$B$5,9,15)</f>
        <v>45550</v>
      </c>
      <c r="B21" s="39">
        <v>0</v>
      </c>
      <c r="C21" s="39">
        <v>0</v>
      </c>
      <c r="D21" s="39">
        <v>0</v>
      </c>
      <c r="E21" s="40">
        <f t="shared" si="0"/>
        <v>0</v>
      </c>
      <c r="F21" s="19"/>
    </row>
    <row r="22" spans="1:6" ht="15" customHeight="1" x14ac:dyDescent="0.2">
      <c r="A22" s="38">
        <f>DATE('Grunddaten &amp; Hinweise'!$B$5,9,16)</f>
        <v>45551</v>
      </c>
      <c r="B22" s="39">
        <v>0</v>
      </c>
      <c r="C22" s="39">
        <v>0</v>
      </c>
      <c r="D22" s="39">
        <v>0</v>
      </c>
      <c r="E22" s="40">
        <f t="shared" si="0"/>
        <v>0</v>
      </c>
      <c r="F22" s="19"/>
    </row>
    <row r="23" spans="1:6" ht="15" customHeight="1" x14ac:dyDescent="0.2">
      <c r="A23" s="38">
        <f>DATE('Grunddaten &amp; Hinweise'!$B$5,9,17)</f>
        <v>45552</v>
      </c>
      <c r="B23" s="39">
        <v>0</v>
      </c>
      <c r="C23" s="39">
        <v>0</v>
      </c>
      <c r="D23" s="39">
        <v>0</v>
      </c>
      <c r="E23" s="40">
        <f t="shared" si="0"/>
        <v>0</v>
      </c>
      <c r="F23" s="19"/>
    </row>
    <row r="24" spans="1:6" ht="15" customHeight="1" x14ac:dyDescent="0.2">
      <c r="A24" s="38">
        <f>DATE('Grunddaten &amp; Hinweise'!$B$5,9,18)</f>
        <v>45553</v>
      </c>
      <c r="B24" s="39">
        <v>0</v>
      </c>
      <c r="C24" s="39">
        <v>0</v>
      </c>
      <c r="D24" s="39">
        <v>0</v>
      </c>
      <c r="E24" s="40">
        <f t="shared" si="0"/>
        <v>0</v>
      </c>
      <c r="F24" s="19"/>
    </row>
    <row r="25" spans="1:6" ht="15" customHeight="1" x14ac:dyDescent="0.2">
      <c r="A25" s="38">
        <f>DATE('Grunddaten &amp; Hinweise'!$B$5,9,19)</f>
        <v>45554</v>
      </c>
      <c r="B25" s="39">
        <v>0</v>
      </c>
      <c r="C25" s="39">
        <v>0</v>
      </c>
      <c r="D25" s="39">
        <v>0</v>
      </c>
      <c r="E25" s="40">
        <f t="shared" si="0"/>
        <v>0</v>
      </c>
      <c r="F25" s="19"/>
    </row>
    <row r="26" spans="1:6" ht="15" customHeight="1" x14ac:dyDescent="0.2">
      <c r="A26" s="38">
        <f>DATE('Grunddaten &amp; Hinweise'!$B$5,9,20)</f>
        <v>45555</v>
      </c>
      <c r="B26" s="39">
        <v>0</v>
      </c>
      <c r="C26" s="39">
        <v>0</v>
      </c>
      <c r="D26" s="39">
        <v>0</v>
      </c>
      <c r="E26" s="40">
        <f t="shared" si="0"/>
        <v>0</v>
      </c>
      <c r="F26" s="19"/>
    </row>
    <row r="27" spans="1:6" ht="15" customHeight="1" x14ac:dyDescent="0.2">
      <c r="A27" s="38">
        <f>DATE('Grunddaten &amp; Hinweise'!$B$5,9,21)</f>
        <v>45556</v>
      </c>
      <c r="B27" s="39">
        <v>0</v>
      </c>
      <c r="C27" s="39">
        <v>0</v>
      </c>
      <c r="D27" s="39">
        <v>0</v>
      </c>
      <c r="E27" s="40">
        <f t="shared" si="0"/>
        <v>0</v>
      </c>
      <c r="F27" s="19"/>
    </row>
    <row r="28" spans="1:6" ht="15" customHeight="1" x14ac:dyDescent="0.2">
      <c r="A28" s="38">
        <f>DATE('Grunddaten &amp; Hinweise'!$B$5,9,22)</f>
        <v>45557</v>
      </c>
      <c r="B28" s="39">
        <v>0</v>
      </c>
      <c r="C28" s="39">
        <v>0</v>
      </c>
      <c r="D28" s="39">
        <v>0</v>
      </c>
      <c r="E28" s="40">
        <f t="shared" si="0"/>
        <v>0</v>
      </c>
      <c r="F28" s="19"/>
    </row>
    <row r="29" spans="1:6" ht="15" customHeight="1" x14ac:dyDescent="0.2">
      <c r="A29" s="38">
        <f>DATE('Grunddaten &amp; Hinweise'!$B$5,9,23)</f>
        <v>45558</v>
      </c>
      <c r="B29" s="39">
        <v>0</v>
      </c>
      <c r="C29" s="39">
        <v>0</v>
      </c>
      <c r="D29" s="39">
        <v>0</v>
      </c>
      <c r="E29" s="40">
        <f t="shared" si="0"/>
        <v>0</v>
      </c>
      <c r="F29" s="19"/>
    </row>
    <row r="30" spans="1:6" ht="15" customHeight="1" x14ac:dyDescent="0.2">
      <c r="A30" s="38">
        <f>DATE('Grunddaten &amp; Hinweise'!$B$5,9,24)</f>
        <v>45559</v>
      </c>
      <c r="B30" s="39">
        <v>0</v>
      </c>
      <c r="C30" s="39">
        <v>0</v>
      </c>
      <c r="D30" s="39">
        <v>0</v>
      </c>
      <c r="E30" s="40">
        <f t="shared" si="0"/>
        <v>0</v>
      </c>
      <c r="F30" s="19"/>
    </row>
    <row r="31" spans="1:6" ht="15" customHeight="1" x14ac:dyDescent="0.2">
      <c r="A31" s="38">
        <f>DATE('Grunddaten &amp; Hinweise'!$B$5,9,25)</f>
        <v>45560</v>
      </c>
      <c r="B31" s="39">
        <v>0</v>
      </c>
      <c r="C31" s="39">
        <v>0</v>
      </c>
      <c r="D31" s="39">
        <v>0</v>
      </c>
      <c r="E31" s="40">
        <f t="shared" si="0"/>
        <v>0</v>
      </c>
      <c r="F31" s="19"/>
    </row>
    <row r="32" spans="1:6" ht="15" customHeight="1" x14ac:dyDescent="0.2">
      <c r="A32" s="38">
        <f>DATE('Grunddaten &amp; Hinweise'!$B$5,9,26)</f>
        <v>45561</v>
      </c>
      <c r="B32" s="39">
        <v>0</v>
      </c>
      <c r="C32" s="39">
        <v>0</v>
      </c>
      <c r="D32" s="39">
        <v>0</v>
      </c>
      <c r="E32" s="40">
        <f t="shared" si="0"/>
        <v>0</v>
      </c>
      <c r="F32" s="19"/>
    </row>
    <row r="33" spans="1:6" ht="15" customHeight="1" x14ac:dyDescent="0.2">
      <c r="A33" s="38">
        <f>DATE('Grunddaten &amp; Hinweise'!$B$5,9,27)</f>
        <v>45562</v>
      </c>
      <c r="B33" s="39">
        <v>0</v>
      </c>
      <c r="C33" s="39">
        <v>0</v>
      </c>
      <c r="D33" s="39">
        <v>0</v>
      </c>
      <c r="E33" s="40">
        <f t="shared" si="0"/>
        <v>0</v>
      </c>
      <c r="F33" s="19"/>
    </row>
    <row r="34" spans="1:6" ht="15" customHeight="1" x14ac:dyDescent="0.2">
      <c r="A34" s="38">
        <f>DATE('Grunddaten &amp; Hinweise'!$B$5,9,28)</f>
        <v>45563</v>
      </c>
      <c r="B34" s="39">
        <v>0</v>
      </c>
      <c r="C34" s="39">
        <v>0</v>
      </c>
      <c r="D34" s="39">
        <v>0</v>
      </c>
      <c r="E34" s="40">
        <f t="shared" si="0"/>
        <v>0</v>
      </c>
      <c r="F34" s="19"/>
    </row>
    <row r="35" spans="1:6" ht="15" customHeight="1" x14ac:dyDescent="0.2">
      <c r="A35" s="38">
        <f>DATE('Grunddaten &amp; Hinweise'!$B$5,9,29)</f>
        <v>45564</v>
      </c>
      <c r="B35" s="39">
        <v>0</v>
      </c>
      <c r="C35" s="39">
        <v>0</v>
      </c>
      <c r="D35" s="39">
        <v>0</v>
      </c>
      <c r="E35" s="40">
        <f t="shared" si="0"/>
        <v>0</v>
      </c>
      <c r="F35" s="19"/>
    </row>
    <row r="36" spans="1:6" ht="15" customHeight="1" x14ac:dyDescent="0.2">
      <c r="A36" s="42">
        <f>DATE('Grunddaten &amp; Hinweise'!$B$5,9,30)</f>
        <v>45565</v>
      </c>
      <c r="B36" s="43">
        <v>0</v>
      </c>
      <c r="C36" s="43">
        <v>0</v>
      </c>
      <c r="D36" s="43">
        <v>0</v>
      </c>
      <c r="E36" s="44">
        <f t="shared" si="0"/>
        <v>0</v>
      </c>
      <c r="F36" s="45"/>
    </row>
    <row r="37" spans="1:6" ht="15" customHeight="1" x14ac:dyDescent="0.2">
      <c r="A37" s="38"/>
      <c r="E37" s="47">
        <f>SUM(E7:E36)</f>
        <v>0</v>
      </c>
    </row>
    <row r="38" spans="1:6" ht="15" customHeight="1" x14ac:dyDescent="0.2">
      <c r="A38" s="38"/>
    </row>
    <row r="39" spans="1:6" ht="15" customHeight="1" thickBot="1" x14ac:dyDescent="0.25"/>
    <row r="40" spans="1:6" ht="15" customHeight="1" thickBot="1" x14ac:dyDescent="0.25">
      <c r="C40" s="4"/>
      <c r="D40" s="48" t="s">
        <v>22</v>
      </c>
      <c r="E40" s="49">
        <f>SUM(E7:E36)*24</f>
        <v>0</v>
      </c>
      <c r="F40" s="2" t="s">
        <v>21</v>
      </c>
    </row>
    <row r="41" spans="1:6" ht="15" customHeight="1" thickBot="1" x14ac:dyDescent="0.25">
      <c r="C41" s="4"/>
      <c r="D41" s="48" t="s">
        <v>23</v>
      </c>
      <c r="E41" s="49">
        <f>'Grunddaten &amp; Hinweise'!B16</f>
        <v>0</v>
      </c>
      <c r="F41" s="2" t="s">
        <v>21</v>
      </c>
    </row>
    <row r="42" spans="1:6" ht="15" customHeight="1" thickBot="1" x14ac:dyDescent="0.3">
      <c r="C42" s="4"/>
      <c r="D42" s="53" t="s">
        <v>86</v>
      </c>
      <c r="E42" s="51">
        <f>E40-E41</f>
        <v>0</v>
      </c>
      <c r="F42" s="2" t="s">
        <v>21</v>
      </c>
    </row>
    <row r="43" spans="1:6" ht="15" customHeight="1" x14ac:dyDescent="0.2"/>
    <row r="44" spans="1:6" ht="15" customHeight="1" x14ac:dyDescent="0.2"/>
    <row r="45" spans="1:6" ht="15" customHeight="1" x14ac:dyDescent="0.2">
      <c r="A45" s="4" t="s">
        <v>60</v>
      </c>
      <c r="B45" s="13"/>
      <c r="C45" s="13"/>
      <c r="D45" s="13"/>
    </row>
    <row r="46" spans="1:6" ht="15" customHeight="1" x14ac:dyDescent="0.2"/>
  </sheetData>
  <mergeCells count="4">
    <mergeCell ref="B1:E1"/>
    <mergeCell ref="B2:E2"/>
    <mergeCell ref="B3:E3"/>
    <mergeCell ref="B4:E4"/>
  </mergeCells>
  <conditionalFormatting sqref="A37:A38">
    <cfRule type="expression" dxfId="33" priority="7">
      <formula>OR(WEEKDAY(A36,1)=6,WEEKDAY(A36,1)=7)</formula>
    </cfRule>
  </conditionalFormatting>
  <conditionalFormatting sqref="B7:E36">
    <cfRule type="cellIs" dxfId="32" priority="4" operator="equal">
      <formula>0</formula>
    </cfRule>
  </conditionalFormatting>
  <conditionalFormatting sqref="E37">
    <cfRule type="cellIs" dxfId="31" priority="3" operator="equal">
      <formula>0</formula>
    </cfRule>
  </conditionalFormatting>
  <conditionalFormatting sqref="A7:A36">
    <cfRule type="timePeriod" dxfId="30" priority="1" timePeriod="today">
      <formula>FLOOR(A7,1)=TODAY()</formula>
    </cfRule>
    <cfRule type="expression" dxfId="29" priority="2">
      <formula>OR(WEEKDAY(A7,1)=7,WEEKDAY(A7,1)=1)</formula>
    </cfRule>
  </conditionalFormatting>
  <pageMargins left="0.70866141732283472" right="0.70866141732283472" top="1.2204724409448819" bottom="0.78740157480314965" header="0.6692913385826772" footer="0.31496062992125984"/>
  <pageSetup paperSize="9" orientation="portrait" horizontalDpi="4294967294" r:id="rId1"/>
  <headerFooter>
    <oddHeader>&amp;LStundennachweis über die geleistete Monatsarbeitszeit</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tabColor theme="3" tint="0.59999389629810485"/>
  </sheetPr>
  <dimension ref="A1:H46"/>
  <sheetViews>
    <sheetView workbookViewId="0">
      <selection activeCell="F18" sqref="F18"/>
    </sheetView>
  </sheetViews>
  <sheetFormatPr baseColWidth="10" defaultColWidth="11.42578125" defaultRowHeight="14.25" x14ac:dyDescent="0.2"/>
  <cols>
    <col min="1" max="1" width="23.5703125" style="2" bestFit="1" customWidth="1"/>
    <col min="2" max="5" width="11.5703125" style="2" bestFit="1" customWidth="1"/>
    <col min="6" max="6" width="19.28515625" style="2" customWidth="1"/>
    <col min="7" max="7" width="4" style="2" customWidth="1"/>
    <col min="8" max="16384" width="11.42578125" style="2"/>
  </cols>
  <sheetData>
    <row r="1" spans="1:8" ht="15" customHeight="1" x14ac:dyDescent="0.25">
      <c r="A1" s="1" t="s">
        <v>2</v>
      </c>
      <c r="B1" s="104" t="str">
        <f>'Grunddaten &amp; Hinweise'!B1</f>
        <v>Max Mustermann</v>
      </c>
      <c r="C1" s="104"/>
      <c r="D1" s="104"/>
      <c r="E1" s="104"/>
      <c r="H1" s="8"/>
    </row>
    <row r="2" spans="1:8" ht="30.2" customHeight="1" x14ac:dyDescent="0.2">
      <c r="A2" s="3" t="s">
        <v>5</v>
      </c>
      <c r="B2" s="101" t="str">
        <f>'Grunddaten &amp; Hinweise'!B2</f>
        <v>Musterinstitut</v>
      </c>
      <c r="C2" s="101"/>
      <c r="D2" s="101"/>
      <c r="E2" s="101"/>
    </row>
    <row r="3" spans="1:8" ht="15" customHeight="1" x14ac:dyDescent="0.2">
      <c r="A3" s="3" t="s">
        <v>6</v>
      </c>
      <c r="B3" s="102" t="str">
        <f>'Grunddaten &amp; Hinweise'!B3</f>
        <v>Max Mustermann</v>
      </c>
      <c r="C3" s="102"/>
      <c r="D3" s="102"/>
      <c r="E3" s="102"/>
      <c r="H3" s="34"/>
    </row>
    <row r="4" spans="1:8" ht="15" customHeight="1" x14ac:dyDescent="0.2">
      <c r="A4" s="3" t="s">
        <v>29</v>
      </c>
      <c r="B4" s="103" t="str">
        <f>'Grunddaten &amp; Hinweise'!B4</f>
        <v>Studentische Hilfskraft</v>
      </c>
      <c r="C4" s="103"/>
      <c r="D4" s="103"/>
      <c r="E4" s="103"/>
    </row>
    <row r="5" spans="1:8" ht="15" customHeight="1" x14ac:dyDescent="0.25">
      <c r="E5" s="35" t="s">
        <v>64</v>
      </c>
    </row>
    <row r="6" spans="1:8" ht="15" customHeight="1" x14ac:dyDescent="0.25">
      <c r="A6" s="24" t="s">
        <v>0</v>
      </c>
      <c r="B6" s="24" t="s">
        <v>58</v>
      </c>
      <c r="C6" s="24" t="s">
        <v>59</v>
      </c>
      <c r="D6" s="24" t="s">
        <v>1</v>
      </c>
      <c r="E6" s="6" t="s">
        <v>65</v>
      </c>
      <c r="F6" s="50" t="s">
        <v>26</v>
      </c>
      <c r="G6" s="41"/>
    </row>
    <row r="7" spans="1:8" ht="15" customHeight="1" x14ac:dyDescent="0.2">
      <c r="A7" s="38">
        <f>DATE('Grunddaten &amp; Hinweise'!$B$5,10,1)</f>
        <v>45566</v>
      </c>
      <c r="B7" s="39">
        <v>0</v>
      </c>
      <c r="C7" s="39">
        <v>0</v>
      </c>
      <c r="D7" s="39">
        <v>0</v>
      </c>
      <c r="E7" s="40">
        <f>C7-B7-D7</f>
        <v>0</v>
      </c>
      <c r="F7" s="19"/>
    </row>
    <row r="8" spans="1:8" ht="15" customHeight="1" x14ac:dyDescent="0.2">
      <c r="A8" s="38">
        <f>DATE('Grunddaten &amp; Hinweise'!$B$5,10,2)</f>
        <v>45567</v>
      </c>
      <c r="B8" s="39">
        <v>0</v>
      </c>
      <c r="C8" s="39">
        <v>0</v>
      </c>
      <c r="D8" s="39">
        <v>0</v>
      </c>
      <c r="E8" s="40">
        <f>C8-B8-D8</f>
        <v>0</v>
      </c>
      <c r="F8" s="19"/>
    </row>
    <row r="9" spans="1:8" ht="15" customHeight="1" x14ac:dyDescent="0.2">
      <c r="A9" s="38">
        <f>DATE('Grunddaten &amp; Hinweise'!$B$5,10,3)</f>
        <v>45568</v>
      </c>
      <c r="B9" s="39">
        <v>0</v>
      </c>
      <c r="C9" s="39">
        <v>0</v>
      </c>
      <c r="D9" s="39">
        <v>0</v>
      </c>
      <c r="E9" s="40">
        <f t="shared" ref="E9:E37" si="0">C9-B9-D9</f>
        <v>0</v>
      </c>
      <c r="F9" s="19"/>
    </row>
    <row r="10" spans="1:8" ht="15" customHeight="1" x14ac:dyDescent="0.2">
      <c r="A10" s="38">
        <f>DATE('Grunddaten &amp; Hinweise'!$B$5,10,4)</f>
        <v>45569</v>
      </c>
      <c r="B10" s="39">
        <v>0</v>
      </c>
      <c r="C10" s="39">
        <v>0</v>
      </c>
      <c r="D10" s="39">
        <v>0</v>
      </c>
      <c r="E10" s="40">
        <f t="shared" si="0"/>
        <v>0</v>
      </c>
      <c r="F10" s="19"/>
    </row>
    <row r="11" spans="1:8" ht="15" customHeight="1" x14ac:dyDescent="0.2">
      <c r="A11" s="38">
        <f>DATE('Grunddaten &amp; Hinweise'!$B$5,10,5)</f>
        <v>45570</v>
      </c>
      <c r="B11" s="39">
        <v>0</v>
      </c>
      <c r="C11" s="39">
        <v>0</v>
      </c>
      <c r="D11" s="39">
        <v>0</v>
      </c>
      <c r="E11" s="40">
        <f t="shared" si="0"/>
        <v>0</v>
      </c>
      <c r="F11" s="19"/>
    </row>
    <row r="12" spans="1:8" ht="15" customHeight="1" x14ac:dyDescent="0.2">
      <c r="A12" s="38">
        <f>DATE('Grunddaten &amp; Hinweise'!$B$5,10,6)</f>
        <v>45571</v>
      </c>
      <c r="B12" s="39">
        <v>0</v>
      </c>
      <c r="C12" s="39">
        <v>0</v>
      </c>
      <c r="D12" s="39">
        <v>0</v>
      </c>
      <c r="E12" s="40">
        <f t="shared" si="0"/>
        <v>0</v>
      </c>
      <c r="F12" s="19"/>
    </row>
    <row r="13" spans="1:8" ht="15" customHeight="1" x14ac:dyDescent="0.2">
      <c r="A13" s="38">
        <f>DATE('Grunddaten &amp; Hinweise'!$B$5,10,7)</f>
        <v>45572</v>
      </c>
      <c r="B13" s="39">
        <v>0</v>
      </c>
      <c r="C13" s="39">
        <v>0</v>
      </c>
      <c r="D13" s="39">
        <v>0</v>
      </c>
      <c r="E13" s="40">
        <f t="shared" si="0"/>
        <v>0</v>
      </c>
      <c r="F13" s="19"/>
    </row>
    <row r="14" spans="1:8" ht="15" customHeight="1" x14ac:dyDescent="0.2">
      <c r="A14" s="38">
        <f>DATE('Grunddaten &amp; Hinweise'!$B$5,10,8)</f>
        <v>45573</v>
      </c>
      <c r="B14" s="39">
        <v>0</v>
      </c>
      <c r="C14" s="39">
        <v>0</v>
      </c>
      <c r="D14" s="39">
        <v>0</v>
      </c>
      <c r="E14" s="40">
        <f t="shared" si="0"/>
        <v>0</v>
      </c>
      <c r="F14" s="19"/>
    </row>
    <row r="15" spans="1:8" ht="15" customHeight="1" x14ac:dyDescent="0.2">
      <c r="A15" s="38">
        <f>DATE('Grunddaten &amp; Hinweise'!$B$5,10,9)</f>
        <v>45574</v>
      </c>
      <c r="B15" s="39">
        <v>0</v>
      </c>
      <c r="C15" s="39">
        <v>0</v>
      </c>
      <c r="D15" s="39">
        <v>0</v>
      </c>
      <c r="E15" s="40">
        <f t="shared" si="0"/>
        <v>0</v>
      </c>
      <c r="F15" s="19"/>
    </row>
    <row r="16" spans="1:8" ht="15" customHeight="1" x14ac:dyDescent="0.2">
      <c r="A16" s="38">
        <f>DATE('Grunddaten &amp; Hinweise'!$B$5,10,10)</f>
        <v>45575</v>
      </c>
      <c r="B16" s="39">
        <v>0</v>
      </c>
      <c r="C16" s="39">
        <v>0</v>
      </c>
      <c r="D16" s="39">
        <v>0</v>
      </c>
      <c r="E16" s="40">
        <f t="shared" si="0"/>
        <v>0</v>
      </c>
      <c r="F16" s="19"/>
    </row>
    <row r="17" spans="1:6" ht="15" customHeight="1" x14ac:dyDescent="0.2">
      <c r="A17" s="38">
        <f>DATE('Grunddaten &amp; Hinweise'!$B$5,10,11)</f>
        <v>45576</v>
      </c>
      <c r="B17" s="39">
        <v>0</v>
      </c>
      <c r="C17" s="39">
        <v>0</v>
      </c>
      <c r="D17" s="39">
        <v>0</v>
      </c>
      <c r="E17" s="40">
        <f t="shared" si="0"/>
        <v>0</v>
      </c>
      <c r="F17" s="19"/>
    </row>
    <row r="18" spans="1:6" ht="15" customHeight="1" x14ac:dyDescent="0.2">
      <c r="A18" s="38">
        <f>DATE('Grunddaten &amp; Hinweise'!$B$5,10,12)</f>
        <v>45577</v>
      </c>
      <c r="B18" s="39">
        <v>0</v>
      </c>
      <c r="C18" s="39">
        <v>0</v>
      </c>
      <c r="D18" s="39">
        <v>0</v>
      </c>
      <c r="E18" s="40">
        <f t="shared" si="0"/>
        <v>0</v>
      </c>
      <c r="F18" s="19"/>
    </row>
    <row r="19" spans="1:6" ht="15" customHeight="1" x14ac:dyDescent="0.2">
      <c r="A19" s="38">
        <f>DATE('Grunddaten &amp; Hinweise'!$B$5,10,13)</f>
        <v>45578</v>
      </c>
      <c r="B19" s="39">
        <v>0</v>
      </c>
      <c r="C19" s="39">
        <v>0</v>
      </c>
      <c r="D19" s="39">
        <v>0</v>
      </c>
      <c r="E19" s="40">
        <f t="shared" si="0"/>
        <v>0</v>
      </c>
      <c r="F19" s="19"/>
    </row>
    <row r="20" spans="1:6" ht="15" customHeight="1" x14ac:dyDescent="0.2">
      <c r="A20" s="38">
        <f>DATE('Grunddaten &amp; Hinweise'!$B$5,10,14)</f>
        <v>45579</v>
      </c>
      <c r="B20" s="39">
        <v>0</v>
      </c>
      <c r="C20" s="39">
        <v>0</v>
      </c>
      <c r="D20" s="39">
        <v>0</v>
      </c>
      <c r="E20" s="40">
        <f t="shared" si="0"/>
        <v>0</v>
      </c>
      <c r="F20" s="19"/>
    </row>
    <row r="21" spans="1:6" ht="15" customHeight="1" x14ac:dyDescent="0.2">
      <c r="A21" s="38">
        <f>DATE('Grunddaten &amp; Hinweise'!$B$5,10,15)</f>
        <v>45580</v>
      </c>
      <c r="B21" s="39">
        <v>0</v>
      </c>
      <c r="C21" s="39">
        <v>0</v>
      </c>
      <c r="D21" s="39">
        <v>0</v>
      </c>
      <c r="E21" s="40">
        <f t="shared" si="0"/>
        <v>0</v>
      </c>
      <c r="F21" s="19"/>
    </row>
    <row r="22" spans="1:6" ht="15" customHeight="1" x14ac:dyDescent="0.2">
      <c r="A22" s="38">
        <f>DATE('Grunddaten &amp; Hinweise'!$B$5,10,16)</f>
        <v>45581</v>
      </c>
      <c r="B22" s="39">
        <v>0</v>
      </c>
      <c r="C22" s="39">
        <v>0</v>
      </c>
      <c r="D22" s="39">
        <v>0</v>
      </c>
      <c r="E22" s="40">
        <f t="shared" si="0"/>
        <v>0</v>
      </c>
      <c r="F22" s="19"/>
    </row>
    <row r="23" spans="1:6" ht="15" customHeight="1" x14ac:dyDescent="0.2">
      <c r="A23" s="38">
        <f>DATE('Grunddaten &amp; Hinweise'!$B$5,10,17)</f>
        <v>45582</v>
      </c>
      <c r="B23" s="39">
        <v>0</v>
      </c>
      <c r="C23" s="39">
        <v>0</v>
      </c>
      <c r="D23" s="39">
        <v>0</v>
      </c>
      <c r="E23" s="40">
        <f t="shared" si="0"/>
        <v>0</v>
      </c>
      <c r="F23" s="19"/>
    </row>
    <row r="24" spans="1:6" ht="15" customHeight="1" x14ac:dyDescent="0.2">
      <c r="A24" s="38">
        <f>DATE('Grunddaten &amp; Hinweise'!$B$5,10,18)</f>
        <v>45583</v>
      </c>
      <c r="B24" s="39">
        <v>0</v>
      </c>
      <c r="C24" s="39">
        <v>0</v>
      </c>
      <c r="D24" s="39">
        <v>0</v>
      </c>
      <c r="E24" s="40">
        <f t="shared" si="0"/>
        <v>0</v>
      </c>
      <c r="F24" s="19"/>
    </row>
    <row r="25" spans="1:6" ht="15" customHeight="1" x14ac:dyDescent="0.2">
      <c r="A25" s="38">
        <f>DATE('Grunddaten &amp; Hinweise'!$B$5,10,19)</f>
        <v>45584</v>
      </c>
      <c r="B25" s="39">
        <v>0</v>
      </c>
      <c r="C25" s="39">
        <v>0</v>
      </c>
      <c r="D25" s="39">
        <v>0</v>
      </c>
      <c r="E25" s="40">
        <f t="shared" si="0"/>
        <v>0</v>
      </c>
      <c r="F25" s="19"/>
    </row>
    <row r="26" spans="1:6" ht="15" customHeight="1" x14ac:dyDescent="0.2">
      <c r="A26" s="38">
        <f>DATE('Grunddaten &amp; Hinweise'!$B$5,10,20)</f>
        <v>45585</v>
      </c>
      <c r="B26" s="39">
        <v>0</v>
      </c>
      <c r="C26" s="39">
        <v>0</v>
      </c>
      <c r="D26" s="39">
        <v>0</v>
      </c>
      <c r="E26" s="40">
        <f t="shared" si="0"/>
        <v>0</v>
      </c>
      <c r="F26" s="19"/>
    </row>
    <row r="27" spans="1:6" ht="15" customHeight="1" x14ac:dyDescent="0.2">
      <c r="A27" s="38">
        <f>DATE('Grunddaten &amp; Hinweise'!$B$5,10,21)</f>
        <v>45586</v>
      </c>
      <c r="B27" s="39">
        <v>0</v>
      </c>
      <c r="C27" s="39">
        <v>0</v>
      </c>
      <c r="D27" s="39">
        <v>0</v>
      </c>
      <c r="E27" s="40">
        <f t="shared" si="0"/>
        <v>0</v>
      </c>
      <c r="F27" s="19"/>
    </row>
    <row r="28" spans="1:6" ht="15" customHeight="1" x14ac:dyDescent="0.2">
      <c r="A28" s="38">
        <f>DATE('Grunddaten &amp; Hinweise'!$B$5,10,22)</f>
        <v>45587</v>
      </c>
      <c r="B28" s="39">
        <v>0</v>
      </c>
      <c r="C28" s="39">
        <v>0</v>
      </c>
      <c r="D28" s="39">
        <v>0</v>
      </c>
      <c r="E28" s="40">
        <f t="shared" si="0"/>
        <v>0</v>
      </c>
      <c r="F28" s="19"/>
    </row>
    <row r="29" spans="1:6" ht="15" customHeight="1" x14ac:dyDescent="0.2">
      <c r="A29" s="38">
        <f>DATE('Grunddaten &amp; Hinweise'!$B$5,10,23)</f>
        <v>45588</v>
      </c>
      <c r="B29" s="39">
        <v>0</v>
      </c>
      <c r="C29" s="39">
        <v>0</v>
      </c>
      <c r="D29" s="39">
        <v>0</v>
      </c>
      <c r="E29" s="40">
        <f t="shared" si="0"/>
        <v>0</v>
      </c>
      <c r="F29" s="19"/>
    </row>
    <row r="30" spans="1:6" ht="15" customHeight="1" x14ac:dyDescent="0.2">
      <c r="A30" s="38">
        <f>DATE('Grunddaten &amp; Hinweise'!$B$5,10,24)</f>
        <v>45589</v>
      </c>
      <c r="B30" s="39">
        <v>0</v>
      </c>
      <c r="C30" s="39">
        <v>0</v>
      </c>
      <c r="D30" s="39">
        <v>0</v>
      </c>
      <c r="E30" s="40">
        <f t="shared" si="0"/>
        <v>0</v>
      </c>
      <c r="F30" s="19"/>
    </row>
    <row r="31" spans="1:6" ht="15" customHeight="1" x14ac:dyDescent="0.2">
      <c r="A31" s="38">
        <f>DATE('Grunddaten &amp; Hinweise'!$B$5,10,25)</f>
        <v>45590</v>
      </c>
      <c r="B31" s="39">
        <v>0</v>
      </c>
      <c r="C31" s="39">
        <v>0</v>
      </c>
      <c r="D31" s="39">
        <v>0</v>
      </c>
      <c r="E31" s="40">
        <f t="shared" si="0"/>
        <v>0</v>
      </c>
      <c r="F31" s="19"/>
    </row>
    <row r="32" spans="1:6" ht="15" customHeight="1" x14ac:dyDescent="0.2">
      <c r="A32" s="38">
        <f>DATE('Grunddaten &amp; Hinweise'!$B$5,10,26)</f>
        <v>45591</v>
      </c>
      <c r="B32" s="39">
        <v>0</v>
      </c>
      <c r="C32" s="39">
        <v>0</v>
      </c>
      <c r="D32" s="39">
        <v>0</v>
      </c>
      <c r="E32" s="40">
        <f t="shared" si="0"/>
        <v>0</v>
      </c>
      <c r="F32" s="19"/>
    </row>
    <row r="33" spans="1:6" ht="15" customHeight="1" x14ac:dyDescent="0.2">
      <c r="A33" s="38">
        <f>DATE('Grunddaten &amp; Hinweise'!$B$5,10,27)</f>
        <v>45592</v>
      </c>
      <c r="B33" s="39">
        <v>0</v>
      </c>
      <c r="C33" s="39">
        <v>0</v>
      </c>
      <c r="D33" s="39">
        <v>0</v>
      </c>
      <c r="E33" s="40">
        <f t="shared" si="0"/>
        <v>0</v>
      </c>
      <c r="F33" s="19"/>
    </row>
    <row r="34" spans="1:6" ht="15" customHeight="1" x14ac:dyDescent="0.2">
      <c r="A34" s="38">
        <f>DATE('Grunddaten &amp; Hinweise'!$B$5,10,28)</f>
        <v>45593</v>
      </c>
      <c r="B34" s="39">
        <v>0</v>
      </c>
      <c r="C34" s="39">
        <v>0</v>
      </c>
      <c r="D34" s="39">
        <v>0</v>
      </c>
      <c r="E34" s="40">
        <f t="shared" si="0"/>
        <v>0</v>
      </c>
      <c r="F34" s="19"/>
    </row>
    <row r="35" spans="1:6" ht="15" customHeight="1" x14ac:dyDescent="0.2">
      <c r="A35" s="38">
        <f>DATE('Grunddaten &amp; Hinweise'!$B$5,10,29)</f>
        <v>45594</v>
      </c>
      <c r="B35" s="39">
        <v>0</v>
      </c>
      <c r="C35" s="39">
        <v>0</v>
      </c>
      <c r="D35" s="39">
        <v>0</v>
      </c>
      <c r="E35" s="40">
        <f t="shared" si="0"/>
        <v>0</v>
      </c>
      <c r="F35" s="19"/>
    </row>
    <row r="36" spans="1:6" ht="15" customHeight="1" x14ac:dyDescent="0.2">
      <c r="A36" s="38">
        <f>DATE('Grunddaten &amp; Hinweise'!$B$5,10,30)</f>
        <v>45595</v>
      </c>
      <c r="B36" s="39">
        <v>0</v>
      </c>
      <c r="C36" s="39">
        <v>0</v>
      </c>
      <c r="D36" s="39">
        <v>0</v>
      </c>
      <c r="E36" s="40">
        <f t="shared" si="0"/>
        <v>0</v>
      </c>
      <c r="F36" s="19"/>
    </row>
    <row r="37" spans="1:6" ht="15" customHeight="1" x14ac:dyDescent="0.2">
      <c r="A37" s="42">
        <f>DATE('Grunddaten &amp; Hinweise'!$B$5,10,31)</f>
        <v>45596</v>
      </c>
      <c r="B37" s="43">
        <v>0</v>
      </c>
      <c r="C37" s="43">
        <v>0</v>
      </c>
      <c r="D37" s="43">
        <v>0</v>
      </c>
      <c r="E37" s="44">
        <f t="shared" si="0"/>
        <v>0</v>
      </c>
      <c r="F37" s="45"/>
    </row>
    <row r="38" spans="1:6" ht="15" customHeight="1" x14ac:dyDescent="0.2">
      <c r="A38" s="38"/>
      <c r="B38" s="46"/>
      <c r="C38" s="46"/>
      <c r="D38" s="46"/>
      <c r="E38" s="47">
        <f>SUM(E7:E37)</f>
        <v>0</v>
      </c>
    </row>
    <row r="39" spans="1:6" ht="15" customHeight="1" thickBot="1" x14ac:dyDescent="0.25"/>
    <row r="40" spans="1:6" ht="15" customHeight="1" thickBot="1" x14ac:dyDescent="0.25">
      <c r="C40" s="4"/>
      <c r="D40" s="48" t="s">
        <v>22</v>
      </c>
      <c r="E40" s="49">
        <f>SUM(E7:E37)*24</f>
        <v>0</v>
      </c>
      <c r="F40" s="2" t="s">
        <v>21</v>
      </c>
    </row>
    <row r="41" spans="1:6" ht="15" customHeight="1" thickBot="1" x14ac:dyDescent="0.25">
      <c r="C41" s="4"/>
      <c r="D41" s="48" t="s">
        <v>23</v>
      </c>
      <c r="E41" s="49">
        <f>'Grunddaten &amp; Hinweise'!B17</f>
        <v>0</v>
      </c>
      <c r="F41" s="2" t="s">
        <v>21</v>
      </c>
    </row>
    <row r="42" spans="1:6" ht="15" customHeight="1" thickBot="1" x14ac:dyDescent="0.3">
      <c r="C42" s="4"/>
      <c r="D42" s="53" t="s">
        <v>86</v>
      </c>
      <c r="E42" s="51">
        <f>E40-E41</f>
        <v>0</v>
      </c>
      <c r="F42" s="2" t="s">
        <v>21</v>
      </c>
    </row>
    <row r="43" spans="1:6" ht="15" customHeight="1" x14ac:dyDescent="0.2"/>
    <row r="44" spans="1:6" ht="15" customHeight="1" x14ac:dyDescent="0.2"/>
    <row r="45" spans="1:6" ht="15" customHeight="1" x14ac:dyDescent="0.2">
      <c r="A45" s="4" t="s">
        <v>60</v>
      </c>
      <c r="B45" s="13"/>
      <c r="C45" s="13"/>
      <c r="D45" s="13"/>
    </row>
    <row r="46" spans="1:6" ht="15" customHeight="1" x14ac:dyDescent="0.2"/>
  </sheetData>
  <mergeCells count="4">
    <mergeCell ref="B1:E1"/>
    <mergeCell ref="B2:E2"/>
    <mergeCell ref="B3:E3"/>
    <mergeCell ref="B4:E4"/>
  </mergeCells>
  <conditionalFormatting sqref="A38">
    <cfRule type="timePeriod" dxfId="28" priority="5" timePeriod="today">
      <formula>FLOOR(A38,1)=TODAY()</formula>
    </cfRule>
    <cfRule type="expression" dxfId="27" priority="6">
      <formula>OR(WEEKDAY(A38,1)=7,WEEKDAY(A38,1)=1)</formula>
    </cfRule>
  </conditionalFormatting>
  <conditionalFormatting sqref="B38:D38 B7:E37">
    <cfRule type="cellIs" dxfId="26" priority="4" operator="equal">
      <formula>0</formula>
    </cfRule>
  </conditionalFormatting>
  <conditionalFormatting sqref="E38">
    <cfRule type="cellIs" dxfId="25" priority="3" operator="equal">
      <formula>0</formula>
    </cfRule>
  </conditionalFormatting>
  <conditionalFormatting sqref="A7:A37">
    <cfRule type="timePeriod" dxfId="24" priority="1" timePeriod="today">
      <formula>FLOOR(A7,1)=TODAY()</formula>
    </cfRule>
    <cfRule type="expression" dxfId="23" priority="2">
      <formula>OR(WEEKDAY(A7,1)=7,WEEKDAY(A7,1)=1)</formula>
    </cfRule>
  </conditionalFormatting>
  <pageMargins left="0.70866141732283472" right="0.70866141732283472" top="1.2204724409448819" bottom="0.78740157480314965" header="0.6692913385826772" footer="0.31496062992125984"/>
  <pageSetup paperSize="9" orientation="portrait" horizontalDpi="4294967294" r:id="rId1"/>
  <headerFooter>
    <oddHeader>&amp;LStundennachweis über die geleistete Monatsarbeitszeit</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tabColor theme="3" tint="0.59999389629810485"/>
  </sheetPr>
  <dimension ref="A1:H46"/>
  <sheetViews>
    <sheetView workbookViewId="0">
      <selection activeCell="C15" sqref="C15"/>
    </sheetView>
  </sheetViews>
  <sheetFormatPr baseColWidth="10" defaultColWidth="11.42578125" defaultRowHeight="14.25" x14ac:dyDescent="0.2"/>
  <cols>
    <col min="1" max="1" width="23.5703125" style="2" bestFit="1" customWidth="1"/>
    <col min="2" max="5" width="11.5703125" style="2" bestFit="1" customWidth="1"/>
    <col min="6" max="6" width="19.28515625" style="2" customWidth="1"/>
    <col min="7" max="7" width="4" style="2" customWidth="1"/>
    <col min="8" max="16384" width="11.42578125" style="2"/>
  </cols>
  <sheetData>
    <row r="1" spans="1:8" ht="15" customHeight="1" x14ac:dyDescent="0.25">
      <c r="A1" s="1" t="s">
        <v>2</v>
      </c>
      <c r="B1" s="104" t="str">
        <f>'Grunddaten &amp; Hinweise'!B1</f>
        <v>Max Mustermann</v>
      </c>
      <c r="C1" s="104"/>
      <c r="D1" s="104"/>
      <c r="E1" s="104"/>
      <c r="H1" s="8"/>
    </row>
    <row r="2" spans="1:8" ht="30.2" customHeight="1" x14ac:dyDescent="0.2">
      <c r="A2" s="3" t="s">
        <v>5</v>
      </c>
      <c r="B2" s="101" t="str">
        <f>'Grunddaten &amp; Hinweise'!B2</f>
        <v>Musterinstitut</v>
      </c>
      <c r="C2" s="101"/>
      <c r="D2" s="101"/>
      <c r="E2" s="101"/>
    </row>
    <row r="3" spans="1:8" ht="15" customHeight="1" x14ac:dyDescent="0.2">
      <c r="A3" s="3" t="s">
        <v>6</v>
      </c>
      <c r="B3" s="102" t="str">
        <f>'Grunddaten &amp; Hinweise'!B3</f>
        <v>Max Mustermann</v>
      </c>
      <c r="C3" s="102"/>
      <c r="D3" s="102"/>
      <c r="E3" s="102"/>
      <c r="H3" s="34"/>
    </row>
    <row r="4" spans="1:8" ht="15" customHeight="1" x14ac:dyDescent="0.2">
      <c r="A4" s="3" t="s">
        <v>29</v>
      </c>
      <c r="B4" s="103" t="str">
        <f>'Grunddaten &amp; Hinweise'!B4</f>
        <v>Studentische Hilfskraft</v>
      </c>
      <c r="C4" s="103"/>
      <c r="D4" s="103"/>
      <c r="E4" s="103"/>
    </row>
    <row r="5" spans="1:8" ht="15" customHeight="1" x14ac:dyDescent="0.25">
      <c r="E5" s="35" t="s">
        <v>64</v>
      </c>
    </row>
    <row r="6" spans="1:8" ht="15" customHeight="1" x14ac:dyDescent="0.25">
      <c r="A6" s="24" t="s">
        <v>0</v>
      </c>
      <c r="B6" s="24" t="s">
        <v>58</v>
      </c>
      <c r="C6" s="24" t="s">
        <v>59</v>
      </c>
      <c r="D6" s="24" t="s">
        <v>1</v>
      </c>
      <c r="E6" s="6" t="s">
        <v>65</v>
      </c>
      <c r="F6" s="50" t="s">
        <v>26</v>
      </c>
      <c r="G6" s="41"/>
    </row>
    <row r="7" spans="1:8" ht="15" customHeight="1" x14ac:dyDescent="0.2">
      <c r="A7" s="38">
        <f>DATE('Grunddaten &amp; Hinweise'!$B$5,11,1)</f>
        <v>45597</v>
      </c>
      <c r="B7" s="39">
        <v>0</v>
      </c>
      <c r="C7" s="39">
        <v>0</v>
      </c>
      <c r="D7" s="39">
        <v>0</v>
      </c>
      <c r="E7" s="40">
        <f>C7-B7-D7</f>
        <v>0</v>
      </c>
      <c r="F7" s="19"/>
    </row>
    <row r="8" spans="1:8" ht="15" customHeight="1" x14ac:dyDescent="0.2">
      <c r="A8" s="38">
        <f>DATE('Grunddaten &amp; Hinweise'!$B$5,11,2)</f>
        <v>45598</v>
      </c>
      <c r="B8" s="84">
        <v>0</v>
      </c>
      <c r="C8" s="84">
        <v>0</v>
      </c>
      <c r="D8" s="39">
        <v>0</v>
      </c>
      <c r="E8" s="40">
        <f>C8-B8-D8</f>
        <v>0</v>
      </c>
      <c r="F8" s="19"/>
    </row>
    <row r="9" spans="1:8" ht="15" customHeight="1" x14ac:dyDescent="0.2">
      <c r="A9" s="38">
        <f>DATE('Grunddaten &amp; Hinweise'!$B$5,11,3)</f>
        <v>45599</v>
      </c>
      <c r="B9" s="39">
        <v>0</v>
      </c>
      <c r="C9" s="39">
        <v>0</v>
      </c>
      <c r="D9" s="39">
        <v>0</v>
      </c>
      <c r="E9" s="40">
        <f t="shared" ref="E9:E36" si="0">C9-B9-D9</f>
        <v>0</v>
      </c>
      <c r="F9" s="19"/>
    </row>
    <row r="10" spans="1:8" ht="15" customHeight="1" x14ac:dyDescent="0.2">
      <c r="A10" s="38">
        <f>DATE('Grunddaten &amp; Hinweise'!$B$5,11,4)</f>
        <v>45600</v>
      </c>
      <c r="B10" s="39">
        <v>0</v>
      </c>
      <c r="C10" s="39">
        <v>0</v>
      </c>
      <c r="D10" s="39">
        <v>0</v>
      </c>
      <c r="E10" s="40">
        <f t="shared" si="0"/>
        <v>0</v>
      </c>
      <c r="F10" s="19"/>
    </row>
    <row r="11" spans="1:8" ht="15" customHeight="1" x14ac:dyDescent="0.2">
      <c r="A11" s="38">
        <f>DATE('Grunddaten &amp; Hinweise'!$B$5,11,5)</f>
        <v>45601</v>
      </c>
      <c r="B11" s="39">
        <v>0</v>
      </c>
      <c r="C11" s="39">
        <v>0</v>
      </c>
      <c r="D11" s="39">
        <v>0</v>
      </c>
      <c r="E11" s="40">
        <f t="shared" si="0"/>
        <v>0</v>
      </c>
      <c r="F11" s="19"/>
    </row>
    <row r="12" spans="1:8" ht="15" customHeight="1" x14ac:dyDescent="0.2">
      <c r="A12" s="38">
        <f>DATE('Grunddaten &amp; Hinweise'!$B$5,11,6)</f>
        <v>45602</v>
      </c>
      <c r="B12" s="84">
        <v>0</v>
      </c>
      <c r="C12" s="84">
        <v>0</v>
      </c>
      <c r="D12" s="39">
        <v>0</v>
      </c>
      <c r="E12" s="40">
        <f t="shared" si="0"/>
        <v>0</v>
      </c>
      <c r="F12" s="19"/>
    </row>
    <row r="13" spans="1:8" ht="15" customHeight="1" x14ac:dyDescent="0.2">
      <c r="A13" s="38">
        <f>DATE('Grunddaten &amp; Hinweise'!$B$5,11,7)</f>
        <v>45603</v>
      </c>
      <c r="B13" s="39">
        <v>0</v>
      </c>
      <c r="C13" s="39">
        <v>0</v>
      </c>
      <c r="D13" s="39">
        <v>0</v>
      </c>
      <c r="E13" s="40">
        <f t="shared" si="0"/>
        <v>0</v>
      </c>
      <c r="F13" s="19"/>
    </row>
    <row r="14" spans="1:8" ht="15" customHeight="1" x14ac:dyDescent="0.2">
      <c r="A14" s="38">
        <f>DATE('Grunddaten &amp; Hinweise'!$B$5,11,8)</f>
        <v>45604</v>
      </c>
      <c r="B14" s="39">
        <v>0</v>
      </c>
      <c r="C14" s="39">
        <v>0</v>
      </c>
      <c r="D14" s="39">
        <v>0</v>
      </c>
      <c r="E14" s="40">
        <f t="shared" si="0"/>
        <v>0</v>
      </c>
      <c r="F14" s="19"/>
    </row>
    <row r="15" spans="1:8" ht="15" customHeight="1" x14ac:dyDescent="0.2">
      <c r="A15" s="38">
        <f>DATE('Grunddaten &amp; Hinweise'!$B$5,11,9)</f>
        <v>45605</v>
      </c>
      <c r="B15" s="84">
        <v>0</v>
      </c>
      <c r="C15" s="84">
        <v>0</v>
      </c>
      <c r="D15" s="39">
        <v>0</v>
      </c>
      <c r="E15" s="40">
        <f t="shared" si="0"/>
        <v>0</v>
      </c>
      <c r="F15" s="19"/>
    </row>
    <row r="16" spans="1:8" ht="15" customHeight="1" x14ac:dyDescent="0.2">
      <c r="A16" s="38">
        <f>DATE('Grunddaten &amp; Hinweise'!$B$5,11,10)</f>
        <v>45606</v>
      </c>
      <c r="B16" s="39">
        <v>0</v>
      </c>
      <c r="C16" s="39">
        <v>0</v>
      </c>
      <c r="D16" s="39">
        <v>0</v>
      </c>
      <c r="E16" s="40">
        <f t="shared" si="0"/>
        <v>0</v>
      </c>
      <c r="F16" s="19"/>
    </row>
    <row r="17" spans="1:6" ht="15" customHeight="1" x14ac:dyDescent="0.2">
      <c r="A17" s="38">
        <f>DATE('Grunddaten &amp; Hinweise'!$B$5,11,11)</f>
        <v>45607</v>
      </c>
      <c r="B17" s="39">
        <v>0</v>
      </c>
      <c r="C17" s="39">
        <v>0</v>
      </c>
      <c r="D17" s="39">
        <v>0</v>
      </c>
      <c r="E17" s="40">
        <f t="shared" si="0"/>
        <v>0</v>
      </c>
      <c r="F17" s="19"/>
    </row>
    <row r="18" spans="1:6" ht="15" customHeight="1" x14ac:dyDescent="0.2">
      <c r="A18" s="38">
        <f>DATE('Grunddaten &amp; Hinweise'!$B$5,11,12)</f>
        <v>45608</v>
      </c>
      <c r="B18" s="39">
        <v>0</v>
      </c>
      <c r="C18" s="39">
        <v>0</v>
      </c>
      <c r="D18" s="39">
        <v>0</v>
      </c>
      <c r="E18" s="40">
        <f t="shared" si="0"/>
        <v>0</v>
      </c>
      <c r="F18" s="19"/>
    </row>
    <row r="19" spans="1:6" ht="15" customHeight="1" x14ac:dyDescent="0.2">
      <c r="A19" s="38">
        <f>DATE('Grunddaten &amp; Hinweise'!$B$5,11,13)</f>
        <v>45609</v>
      </c>
      <c r="B19" s="84">
        <v>0</v>
      </c>
      <c r="C19" s="84">
        <v>0</v>
      </c>
      <c r="D19" s="39">
        <v>0</v>
      </c>
      <c r="E19" s="40">
        <f t="shared" si="0"/>
        <v>0</v>
      </c>
      <c r="F19" s="19"/>
    </row>
    <row r="20" spans="1:6" ht="15" customHeight="1" x14ac:dyDescent="0.2">
      <c r="A20" s="38">
        <f>DATE('Grunddaten &amp; Hinweise'!$B$5,11,14)</f>
        <v>45610</v>
      </c>
      <c r="B20" s="39">
        <v>0</v>
      </c>
      <c r="C20" s="39">
        <v>0</v>
      </c>
      <c r="D20" s="39">
        <v>0</v>
      </c>
      <c r="E20" s="40">
        <f t="shared" si="0"/>
        <v>0</v>
      </c>
      <c r="F20" s="19"/>
    </row>
    <row r="21" spans="1:6" ht="15" customHeight="1" x14ac:dyDescent="0.2">
      <c r="A21" s="38">
        <f>DATE('Grunddaten &amp; Hinweise'!$B$5,11,15)</f>
        <v>45611</v>
      </c>
      <c r="B21" s="39">
        <v>0</v>
      </c>
      <c r="C21" s="39">
        <v>0</v>
      </c>
      <c r="D21" s="39">
        <v>0</v>
      </c>
      <c r="E21" s="40">
        <f t="shared" si="0"/>
        <v>0</v>
      </c>
      <c r="F21" s="19"/>
    </row>
    <row r="22" spans="1:6" ht="15" customHeight="1" x14ac:dyDescent="0.2">
      <c r="A22" s="38">
        <f>DATE('Grunddaten &amp; Hinweise'!$B$5,11,16)</f>
        <v>45612</v>
      </c>
      <c r="B22" s="84">
        <v>0</v>
      </c>
      <c r="C22" s="84">
        <v>0</v>
      </c>
      <c r="D22" s="39">
        <v>0</v>
      </c>
      <c r="E22" s="40">
        <f t="shared" si="0"/>
        <v>0</v>
      </c>
      <c r="F22" s="19"/>
    </row>
    <row r="23" spans="1:6" ht="15" customHeight="1" x14ac:dyDescent="0.2">
      <c r="A23" s="38">
        <f>DATE('Grunddaten &amp; Hinweise'!$B$5,11,17)</f>
        <v>45613</v>
      </c>
      <c r="B23" s="39">
        <v>0</v>
      </c>
      <c r="C23" s="39">
        <v>0</v>
      </c>
      <c r="D23" s="39">
        <v>0</v>
      </c>
      <c r="E23" s="40">
        <f t="shared" si="0"/>
        <v>0</v>
      </c>
      <c r="F23" s="19"/>
    </row>
    <row r="24" spans="1:6" ht="15" customHeight="1" x14ac:dyDescent="0.2">
      <c r="A24" s="38">
        <f>DATE('Grunddaten &amp; Hinweise'!$B$5,11,18)</f>
        <v>45614</v>
      </c>
      <c r="B24" s="39">
        <v>0</v>
      </c>
      <c r="C24" s="39">
        <v>0</v>
      </c>
      <c r="D24" s="39">
        <v>0</v>
      </c>
      <c r="E24" s="40">
        <f t="shared" si="0"/>
        <v>0</v>
      </c>
      <c r="F24" s="19"/>
    </row>
    <row r="25" spans="1:6" ht="15" customHeight="1" x14ac:dyDescent="0.2">
      <c r="A25" s="38">
        <f>DATE('Grunddaten &amp; Hinweise'!$B$5,11,19)</f>
        <v>45615</v>
      </c>
      <c r="B25" s="39">
        <v>0</v>
      </c>
      <c r="C25" s="39">
        <v>0</v>
      </c>
      <c r="D25" s="39">
        <v>0</v>
      </c>
      <c r="E25" s="40">
        <f t="shared" si="0"/>
        <v>0</v>
      </c>
      <c r="F25" s="19"/>
    </row>
    <row r="26" spans="1:6" ht="15" customHeight="1" x14ac:dyDescent="0.2">
      <c r="A26" s="38">
        <f>DATE('Grunddaten &amp; Hinweise'!$B$5,11,20)</f>
        <v>45616</v>
      </c>
      <c r="B26" s="84">
        <v>0</v>
      </c>
      <c r="C26" s="84">
        <v>0</v>
      </c>
      <c r="D26" s="39">
        <v>0</v>
      </c>
      <c r="E26" s="40">
        <f t="shared" si="0"/>
        <v>0</v>
      </c>
      <c r="F26" s="19"/>
    </row>
    <row r="27" spans="1:6" ht="15" customHeight="1" x14ac:dyDescent="0.2">
      <c r="A27" s="38">
        <f>DATE('Grunddaten &amp; Hinweise'!$B$5,11,21)</f>
        <v>45617</v>
      </c>
      <c r="B27" s="39">
        <v>0</v>
      </c>
      <c r="C27" s="39">
        <v>0</v>
      </c>
      <c r="D27" s="39">
        <v>0</v>
      </c>
      <c r="E27" s="40">
        <f t="shared" si="0"/>
        <v>0</v>
      </c>
      <c r="F27" s="19"/>
    </row>
    <row r="28" spans="1:6" ht="15" customHeight="1" x14ac:dyDescent="0.2">
      <c r="A28" s="38">
        <f>DATE('Grunddaten &amp; Hinweise'!$B$5,11,22)</f>
        <v>45618</v>
      </c>
      <c r="B28" s="39">
        <v>0</v>
      </c>
      <c r="C28" s="39">
        <v>0</v>
      </c>
      <c r="D28" s="39">
        <v>0</v>
      </c>
      <c r="E28" s="40">
        <f t="shared" si="0"/>
        <v>0</v>
      </c>
      <c r="F28" s="19"/>
    </row>
    <row r="29" spans="1:6" ht="15" customHeight="1" x14ac:dyDescent="0.2">
      <c r="A29" s="38">
        <f>DATE('Grunddaten &amp; Hinweise'!$B$5,11,23)</f>
        <v>45619</v>
      </c>
      <c r="B29" s="84">
        <v>0</v>
      </c>
      <c r="C29" s="84">
        <v>0</v>
      </c>
      <c r="D29" s="39">
        <v>0</v>
      </c>
      <c r="E29" s="40">
        <f t="shared" si="0"/>
        <v>0</v>
      </c>
      <c r="F29" s="19"/>
    </row>
    <row r="30" spans="1:6" ht="15" customHeight="1" x14ac:dyDescent="0.2">
      <c r="A30" s="38">
        <f>DATE('Grunddaten &amp; Hinweise'!$B$5,11,24)</f>
        <v>45620</v>
      </c>
      <c r="B30" s="39">
        <v>0</v>
      </c>
      <c r="C30" s="39">
        <v>0</v>
      </c>
      <c r="D30" s="39">
        <v>0</v>
      </c>
      <c r="E30" s="40">
        <f t="shared" si="0"/>
        <v>0</v>
      </c>
      <c r="F30" s="19"/>
    </row>
    <row r="31" spans="1:6" ht="15" customHeight="1" x14ac:dyDescent="0.2">
      <c r="A31" s="38">
        <f>DATE('Grunddaten &amp; Hinweise'!$B$5,11,25)</f>
        <v>45621</v>
      </c>
      <c r="B31" s="39">
        <v>0</v>
      </c>
      <c r="C31" s="39">
        <v>0</v>
      </c>
      <c r="D31" s="39">
        <v>0</v>
      </c>
      <c r="E31" s="40">
        <f t="shared" si="0"/>
        <v>0</v>
      </c>
      <c r="F31" s="19"/>
    </row>
    <row r="32" spans="1:6" ht="15" customHeight="1" x14ac:dyDescent="0.2">
      <c r="A32" s="38">
        <f>DATE('Grunddaten &amp; Hinweise'!$B$5,11,26)</f>
        <v>45622</v>
      </c>
      <c r="B32" s="39">
        <v>0</v>
      </c>
      <c r="C32" s="39">
        <v>0</v>
      </c>
      <c r="D32" s="39">
        <v>0</v>
      </c>
      <c r="E32" s="40">
        <f t="shared" si="0"/>
        <v>0</v>
      </c>
      <c r="F32" s="19"/>
    </row>
    <row r="33" spans="1:6" ht="15" customHeight="1" x14ac:dyDescent="0.2">
      <c r="A33" s="38">
        <f>DATE('Grunddaten &amp; Hinweise'!$B$5,11,27)</f>
        <v>45623</v>
      </c>
      <c r="B33" s="84">
        <v>0</v>
      </c>
      <c r="C33" s="84">
        <v>0</v>
      </c>
      <c r="D33" s="39">
        <v>0</v>
      </c>
      <c r="E33" s="40">
        <f t="shared" si="0"/>
        <v>0</v>
      </c>
      <c r="F33" s="19"/>
    </row>
    <row r="34" spans="1:6" ht="15" customHeight="1" x14ac:dyDescent="0.2">
      <c r="A34" s="38">
        <f>DATE('Grunddaten &amp; Hinweise'!$B$5,11,28)</f>
        <v>45624</v>
      </c>
      <c r="B34" s="84">
        <v>0</v>
      </c>
      <c r="C34" s="84">
        <v>0</v>
      </c>
      <c r="D34" s="39">
        <v>0</v>
      </c>
      <c r="E34" s="40">
        <f t="shared" si="0"/>
        <v>0</v>
      </c>
      <c r="F34" s="19"/>
    </row>
    <row r="35" spans="1:6" ht="15" customHeight="1" x14ac:dyDescent="0.2">
      <c r="A35" s="38">
        <f>DATE('Grunddaten &amp; Hinweise'!$B$5,11,29)</f>
        <v>45625</v>
      </c>
      <c r="B35" s="84">
        <v>0</v>
      </c>
      <c r="C35" s="84">
        <v>0</v>
      </c>
      <c r="D35" s="39">
        <v>0</v>
      </c>
      <c r="E35" s="40">
        <f t="shared" si="0"/>
        <v>0</v>
      </c>
      <c r="F35" s="19"/>
    </row>
    <row r="36" spans="1:6" ht="15" customHeight="1" x14ac:dyDescent="0.2">
      <c r="A36" s="42">
        <f>DATE('Grunddaten &amp; Hinweise'!$B$5,11,30)</f>
        <v>45626</v>
      </c>
      <c r="B36" s="43">
        <v>0</v>
      </c>
      <c r="C36" s="43">
        <v>0</v>
      </c>
      <c r="D36" s="43">
        <v>0</v>
      </c>
      <c r="E36" s="44">
        <f t="shared" si="0"/>
        <v>0</v>
      </c>
      <c r="F36" s="45"/>
    </row>
    <row r="37" spans="1:6" ht="15" customHeight="1" x14ac:dyDescent="0.2">
      <c r="A37" s="38"/>
      <c r="E37" s="47">
        <f>SUM(E7:E36)</f>
        <v>0</v>
      </c>
    </row>
    <row r="38" spans="1:6" ht="15" customHeight="1" x14ac:dyDescent="0.2">
      <c r="A38" s="38"/>
    </row>
    <row r="39" spans="1:6" ht="15" customHeight="1" thickBot="1" x14ac:dyDescent="0.25"/>
    <row r="40" spans="1:6" ht="15" customHeight="1" thickBot="1" x14ac:dyDescent="0.25">
      <c r="C40" s="4"/>
      <c r="D40" s="48" t="s">
        <v>22</v>
      </c>
      <c r="E40" s="49">
        <f>SUM(E7:E36)*24</f>
        <v>0</v>
      </c>
      <c r="F40" s="2" t="s">
        <v>21</v>
      </c>
    </row>
    <row r="41" spans="1:6" ht="15" customHeight="1" thickBot="1" x14ac:dyDescent="0.25">
      <c r="C41" s="4"/>
      <c r="D41" s="48" t="s">
        <v>23</v>
      </c>
      <c r="E41" s="49">
        <f>'Grunddaten &amp; Hinweise'!B18</f>
        <v>0</v>
      </c>
      <c r="F41" s="2" t="s">
        <v>21</v>
      </c>
    </row>
    <row r="42" spans="1:6" ht="15" customHeight="1" thickBot="1" x14ac:dyDescent="0.3">
      <c r="C42" s="4"/>
      <c r="D42" s="53" t="s">
        <v>86</v>
      </c>
      <c r="E42" s="51">
        <f>E40-E41</f>
        <v>0</v>
      </c>
      <c r="F42" s="2" t="s">
        <v>21</v>
      </c>
    </row>
    <row r="43" spans="1:6" ht="15" customHeight="1" x14ac:dyDescent="0.2"/>
    <row r="44" spans="1:6" ht="15" customHeight="1" x14ac:dyDescent="0.2"/>
    <row r="45" spans="1:6" ht="15" customHeight="1" x14ac:dyDescent="0.2">
      <c r="A45" s="4" t="s">
        <v>60</v>
      </c>
      <c r="B45" s="13"/>
      <c r="C45" s="13"/>
      <c r="D45" s="13"/>
    </row>
    <row r="46" spans="1:6" ht="15" customHeight="1" x14ac:dyDescent="0.2"/>
  </sheetData>
  <mergeCells count="4">
    <mergeCell ref="B1:E1"/>
    <mergeCell ref="B2:E2"/>
    <mergeCell ref="B3:E3"/>
    <mergeCell ref="B4:E4"/>
  </mergeCells>
  <conditionalFormatting sqref="A37:A38">
    <cfRule type="expression" dxfId="22" priority="28">
      <formula>OR(WEEKDAY(A36,1)=6,WEEKDAY(A36,1)=7)</formula>
    </cfRule>
  </conditionalFormatting>
  <conditionalFormatting sqref="B7:E7 B9:E11 D8:E8 B13:E14 D12:E12 B16:E18 D15:E15 B20:E21 D19:E19 B23:E25 D22:E22 B27:E28 D26:E26 B30:E32 D29:E29 D33:E36">
    <cfRule type="cellIs" dxfId="21" priority="25" operator="equal">
      <formula>0</formula>
    </cfRule>
  </conditionalFormatting>
  <conditionalFormatting sqref="E37">
    <cfRule type="cellIs" dxfId="20" priority="24" operator="equal">
      <formula>0</formula>
    </cfRule>
  </conditionalFormatting>
  <conditionalFormatting sqref="A7:A36">
    <cfRule type="timePeriod" dxfId="19" priority="22" timePeriod="today">
      <formula>FLOOR(A7,1)=TODAY()</formula>
    </cfRule>
    <cfRule type="expression" dxfId="18" priority="23">
      <formula>OR(WEEKDAY(A7,1)=7,WEEKDAY(A7,1)=1)</formula>
    </cfRule>
  </conditionalFormatting>
  <conditionalFormatting sqref="B36:C36">
    <cfRule type="cellIs" dxfId="17" priority="13" operator="equal">
      <formula>0</formula>
    </cfRule>
  </conditionalFormatting>
  <conditionalFormatting sqref="B29:C29">
    <cfRule type="cellIs" dxfId="16" priority="10" operator="equal">
      <formula>0</formula>
    </cfRule>
  </conditionalFormatting>
  <conditionalFormatting sqref="B22:C22">
    <cfRule type="cellIs" dxfId="15" priority="9" operator="equal">
      <formula>0</formula>
    </cfRule>
  </conditionalFormatting>
  <conditionalFormatting sqref="B15:C15">
    <cfRule type="cellIs" dxfId="14" priority="8" operator="equal">
      <formula>0</formula>
    </cfRule>
  </conditionalFormatting>
  <conditionalFormatting sqref="B8:C8">
    <cfRule type="cellIs" dxfId="13" priority="7" operator="equal">
      <formula>0</formula>
    </cfRule>
  </conditionalFormatting>
  <conditionalFormatting sqref="B12:C12">
    <cfRule type="cellIs" dxfId="12" priority="6" operator="equal">
      <formula>0</formula>
    </cfRule>
  </conditionalFormatting>
  <conditionalFormatting sqref="B19:C19">
    <cfRule type="cellIs" dxfId="11" priority="5" operator="equal">
      <formula>0</formula>
    </cfRule>
  </conditionalFormatting>
  <conditionalFormatting sqref="B26:C26">
    <cfRule type="cellIs" dxfId="10" priority="4" operator="equal">
      <formula>0</formula>
    </cfRule>
  </conditionalFormatting>
  <conditionalFormatting sqref="B33:C33">
    <cfRule type="cellIs" dxfId="9" priority="3" operator="equal">
      <formula>0</formula>
    </cfRule>
  </conditionalFormatting>
  <conditionalFormatting sqref="B34:C34">
    <cfRule type="cellIs" dxfId="8" priority="2" operator="equal">
      <formula>0</formula>
    </cfRule>
  </conditionalFormatting>
  <conditionalFormatting sqref="B35:C35">
    <cfRule type="cellIs" dxfId="7" priority="1" operator="equal">
      <formula>0</formula>
    </cfRule>
  </conditionalFormatting>
  <pageMargins left="0.70866141732283472" right="0.70866141732283472" top="1.2204724409448819" bottom="0.78740157480314965" header="0.6692913385826772" footer="0.31496062992125984"/>
  <pageSetup paperSize="9" orientation="portrait" horizontalDpi="4294967294" r:id="rId1"/>
  <headerFooter>
    <oddHeader>&amp;LStundennachweis über die geleistete Monatsarbeitszeit</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tabColor theme="3" tint="0.59999389629810485"/>
  </sheetPr>
  <dimension ref="A1:H46"/>
  <sheetViews>
    <sheetView topLeftCell="A19" zoomScaleNormal="100" workbookViewId="0">
      <selection activeCell="F34" sqref="F34"/>
    </sheetView>
  </sheetViews>
  <sheetFormatPr baseColWidth="10" defaultColWidth="11.42578125" defaultRowHeight="14.25" x14ac:dyDescent="0.2"/>
  <cols>
    <col min="1" max="1" width="23.5703125" style="2" bestFit="1" customWidth="1"/>
    <col min="2" max="5" width="11.5703125" style="2" bestFit="1" customWidth="1"/>
    <col min="6" max="6" width="19.28515625" style="2" customWidth="1"/>
    <col min="7" max="7" width="4" style="2" customWidth="1"/>
    <col min="8" max="16384" width="11.42578125" style="2"/>
  </cols>
  <sheetData>
    <row r="1" spans="1:8" ht="15" customHeight="1" x14ac:dyDescent="0.25">
      <c r="A1" s="1" t="s">
        <v>2</v>
      </c>
      <c r="B1" s="104" t="str">
        <f>'Grunddaten &amp; Hinweise'!B1</f>
        <v>Max Mustermann</v>
      </c>
      <c r="C1" s="104"/>
      <c r="D1" s="104"/>
      <c r="E1" s="104"/>
      <c r="H1" s="8"/>
    </row>
    <row r="2" spans="1:8" ht="30.2" customHeight="1" x14ac:dyDescent="0.2">
      <c r="A2" s="3" t="s">
        <v>5</v>
      </c>
      <c r="B2" s="101" t="str">
        <f>'Grunddaten &amp; Hinweise'!B2</f>
        <v>Musterinstitut</v>
      </c>
      <c r="C2" s="101"/>
      <c r="D2" s="101"/>
      <c r="E2" s="101"/>
    </row>
    <row r="3" spans="1:8" ht="15" customHeight="1" x14ac:dyDescent="0.2">
      <c r="A3" s="3" t="s">
        <v>6</v>
      </c>
      <c r="B3" s="102" t="str">
        <f>'Grunddaten &amp; Hinweise'!B3</f>
        <v>Max Mustermann</v>
      </c>
      <c r="C3" s="102"/>
      <c r="D3" s="102"/>
      <c r="E3" s="102"/>
      <c r="H3" s="34"/>
    </row>
    <row r="4" spans="1:8" ht="15" customHeight="1" x14ac:dyDescent="0.2">
      <c r="A4" s="3" t="s">
        <v>29</v>
      </c>
      <c r="B4" s="103" t="str">
        <f>'Grunddaten &amp; Hinweise'!B4</f>
        <v>Studentische Hilfskraft</v>
      </c>
      <c r="C4" s="103"/>
      <c r="D4" s="103"/>
      <c r="E4" s="103"/>
    </row>
    <row r="5" spans="1:8" ht="15" customHeight="1" x14ac:dyDescent="0.25">
      <c r="E5" s="35" t="s">
        <v>64</v>
      </c>
    </row>
    <row r="6" spans="1:8" ht="15" customHeight="1" x14ac:dyDescent="0.25">
      <c r="A6" s="24" t="s">
        <v>0</v>
      </c>
      <c r="B6" s="24" t="s">
        <v>58</v>
      </c>
      <c r="C6" s="24" t="s">
        <v>59</v>
      </c>
      <c r="D6" s="24" t="s">
        <v>1</v>
      </c>
      <c r="E6" s="6" t="s">
        <v>65</v>
      </c>
      <c r="F6" s="50" t="s">
        <v>26</v>
      </c>
      <c r="G6" s="41"/>
    </row>
    <row r="7" spans="1:8" ht="15" customHeight="1" x14ac:dyDescent="0.2">
      <c r="A7" s="38">
        <f>DATE('Grunddaten &amp; Hinweise'!$B$5,12,1)</f>
        <v>45627</v>
      </c>
      <c r="B7" s="39">
        <v>0</v>
      </c>
      <c r="C7" s="39">
        <v>0</v>
      </c>
      <c r="D7" s="39">
        <v>0</v>
      </c>
      <c r="E7" s="40">
        <f>C7-B7-D7</f>
        <v>0</v>
      </c>
      <c r="F7" s="19"/>
    </row>
    <row r="8" spans="1:8" ht="15" customHeight="1" x14ac:dyDescent="0.2">
      <c r="A8" s="38">
        <f>DATE('Grunddaten &amp; Hinweise'!$B$5,12,2)</f>
        <v>45628</v>
      </c>
      <c r="B8" s="39">
        <v>0</v>
      </c>
      <c r="C8" s="39">
        <v>0</v>
      </c>
      <c r="D8" s="39">
        <v>0</v>
      </c>
      <c r="E8" s="40">
        <f>C8-B8-D8</f>
        <v>0</v>
      </c>
      <c r="F8" s="19"/>
    </row>
    <row r="9" spans="1:8" ht="15" customHeight="1" x14ac:dyDescent="0.2">
      <c r="A9" s="38">
        <f>DATE('Grunddaten &amp; Hinweise'!$B$5,12,3)</f>
        <v>45629</v>
      </c>
      <c r="B9" s="39">
        <v>0</v>
      </c>
      <c r="C9" s="39">
        <v>0</v>
      </c>
      <c r="D9" s="39">
        <v>0</v>
      </c>
      <c r="E9" s="40">
        <f t="shared" ref="E9:E37" si="0">C9-B9-D9</f>
        <v>0</v>
      </c>
      <c r="F9" s="19"/>
    </row>
    <row r="10" spans="1:8" ht="15" customHeight="1" x14ac:dyDescent="0.2">
      <c r="A10" s="38">
        <f>DATE('Grunddaten &amp; Hinweise'!$B$5,12,4)</f>
        <v>45630</v>
      </c>
      <c r="B10" s="39">
        <v>0</v>
      </c>
      <c r="C10" s="39">
        <v>0</v>
      </c>
      <c r="D10" s="39">
        <v>0</v>
      </c>
      <c r="E10" s="40">
        <f t="shared" si="0"/>
        <v>0</v>
      </c>
      <c r="F10" s="19"/>
    </row>
    <row r="11" spans="1:8" ht="15" customHeight="1" x14ac:dyDescent="0.2">
      <c r="A11" s="38">
        <f>DATE('Grunddaten &amp; Hinweise'!$B$5,12,5)</f>
        <v>45631</v>
      </c>
      <c r="B11" s="39">
        <v>0</v>
      </c>
      <c r="C11" s="39">
        <v>0</v>
      </c>
      <c r="D11" s="39">
        <v>0</v>
      </c>
      <c r="E11" s="40">
        <f t="shared" si="0"/>
        <v>0</v>
      </c>
      <c r="F11" s="19"/>
    </row>
    <row r="12" spans="1:8" ht="15" customHeight="1" x14ac:dyDescent="0.2">
      <c r="A12" s="38">
        <f>DATE('Grunddaten &amp; Hinweise'!$B$5,12,6)</f>
        <v>45632</v>
      </c>
      <c r="B12" s="39">
        <v>0</v>
      </c>
      <c r="C12" s="39">
        <v>0</v>
      </c>
      <c r="D12" s="39">
        <v>0</v>
      </c>
      <c r="E12" s="40">
        <f t="shared" si="0"/>
        <v>0</v>
      </c>
      <c r="F12" s="19"/>
    </row>
    <row r="13" spans="1:8" ht="15" customHeight="1" x14ac:dyDescent="0.2">
      <c r="A13" s="38">
        <f>DATE('Grunddaten &amp; Hinweise'!$B$5,12,7)</f>
        <v>45633</v>
      </c>
      <c r="B13" s="39">
        <v>0</v>
      </c>
      <c r="C13" s="39">
        <v>0</v>
      </c>
      <c r="D13" s="39">
        <v>0</v>
      </c>
      <c r="E13" s="40">
        <f t="shared" si="0"/>
        <v>0</v>
      </c>
      <c r="F13" s="19"/>
    </row>
    <row r="14" spans="1:8" ht="15" customHeight="1" x14ac:dyDescent="0.2">
      <c r="A14" s="38">
        <f>DATE('Grunddaten &amp; Hinweise'!$B$5,12,8)</f>
        <v>45634</v>
      </c>
      <c r="B14" s="39">
        <v>0</v>
      </c>
      <c r="C14" s="39">
        <v>0</v>
      </c>
      <c r="D14" s="39">
        <v>0</v>
      </c>
      <c r="E14" s="40">
        <f t="shared" si="0"/>
        <v>0</v>
      </c>
      <c r="F14" s="19"/>
    </row>
    <row r="15" spans="1:8" ht="15" customHeight="1" x14ac:dyDescent="0.2">
      <c r="A15" s="38">
        <f>DATE('Grunddaten &amp; Hinweise'!$B$5,12,9)</f>
        <v>45635</v>
      </c>
      <c r="B15" s="39">
        <v>0</v>
      </c>
      <c r="C15" s="39">
        <v>0</v>
      </c>
      <c r="D15" s="39">
        <v>0</v>
      </c>
      <c r="E15" s="40">
        <f t="shared" si="0"/>
        <v>0</v>
      </c>
      <c r="F15" s="19"/>
    </row>
    <row r="16" spans="1:8" ht="15" customHeight="1" x14ac:dyDescent="0.2">
      <c r="A16" s="38">
        <f>DATE('Grunddaten &amp; Hinweise'!$B$5,12,10)</f>
        <v>45636</v>
      </c>
      <c r="B16" s="39">
        <v>0</v>
      </c>
      <c r="C16" s="39">
        <v>0</v>
      </c>
      <c r="D16" s="39">
        <v>0</v>
      </c>
      <c r="E16" s="40">
        <f t="shared" si="0"/>
        <v>0</v>
      </c>
      <c r="F16" s="19"/>
    </row>
    <row r="17" spans="1:6" ht="15" customHeight="1" x14ac:dyDescent="0.2">
      <c r="A17" s="38">
        <f>DATE('Grunddaten &amp; Hinweise'!$B$5,12,11)</f>
        <v>45637</v>
      </c>
      <c r="B17" s="39">
        <v>0</v>
      </c>
      <c r="C17" s="39">
        <v>0</v>
      </c>
      <c r="D17" s="39">
        <v>0</v>
      </c>
      <c r="E17" s="40">
        <f t="shared" si="0"/>
        <v>0</v>
      </c>
      <c r="F17" s="19"/>
    </row>
    <row r="18" spans="1:6" ht="15" customHeight="1" x14ac:dyDescent="0.2">
      <c r="A18" s="38">
        <f>DATE('Grunddaten &amp; Hinweise'!$B$5,12,12)</f>
        <v>45638</v>
      </c>
      <c r="B18" s="39">
        <v>0</v>
      </c>
      <c r="C18" s="39">
        <v>0</v>
      </c>
      <c r="D18" s="39">
        <v>0</v>
      </c>
      <c r="E18" s="40">
        <f t="shared" si="0"/>
        <v>0</v>
      </c>
      <c r="F18" s="19"/>
    </row>
    <row r="19" spans="1:6" ht="15" customHeight="1" x14ac:dyDescent="0.2">
      <c r="A19" s="38">
        <f>DATE('Grunddaten &amp; Hinweise'!$B$5,12,13)</f>
        <v>45639</v>
      </c>
      <c r="B19" s="39">
        <v>0</v>
      </c>
      <c r="C19" s="39">
        <v>0</v>
      </c>
      <c r="D19" s="39">
        <v>0</v>
      </c>
      <c r="E19" s="40">
        <f t="shared" si="0"/>
        <v>0</v>
      </c>
      <c r="F19" s="19"/>
    </row>
    <row r="20" spans="1:6" ht="15" customHeight="1" x14ac:dyDescent="0.2">
      <c r="A20" s="38">
        <f>DATE('Grunddaten &amp; Hinweise'!$B$5,12,14)</f>
        <v>45640</v>
      </c>
      <c r="B20" s="39">
        <v>0</v>
      </c>
      <c r="C20" s="39">
        <v>0</v>
      </c>
      <c r="D20" s="39">
        <v>0</v>
      </c>
      <c r="E20" s="40">
        <f t="shared" si="0"/>
        <v>0</v>
      </c>
      <c r="F20" s="19"/>
    </row>
    <row r="21" spans="1:6" ht="15" customHeight="1" x14ac:dyDescent="0.2">
      <c r="A21" s="38">
        <f>DATE('Grunddaten &amp; Hinweise'!$B$5,12,15)</f>
        <v>45641</v>
      </c>
      <c r="B21" s="39">
        <v>0</v>
      </c>
      <c r="C21" s="39">
        <v>0</v>
      </c>
      <c r="D21" s="39">
        <v>0</v>
      </c>
      <c r="E21" s="40">
        <f t="shared" si="0"/>
        <v>0</v>
      </c>
      <c r="F21" s="19"/>
    </row>
    <row r="22" spans="1:6" ht="15" customHeight="1" x14ac:dyDescent="0.2">
      <c r="A22" s="38">
        <f>DATE('Grunddaten &amp; Hinweise'!$B$5,12,16)</f>
        <v>45642</v>
      </c>
      <c r="B22" s="39">
        <v>0</v>
      </c>
      <c r="C22" s="39">
        <v>0</v>
      </c>
      <c r="D22" s="39">
        <v>0</v>
      </c>
      <c r="E22" s="40">
        <f t="shared" si="0"/>
        <v>0</v>
      </c>
      <c r="F22" s="19"/>
    </row>
    <row r="23" spans="1:6" ht="15" customHeight="1" x14ac:dyDescent="0.2">
      <c r="A23" s="38">
        <f>DATE('Grunddaten &amp; Hinweise'!$B$5,12,17)</f>
        <v>45643</v>
      </c>
      <c r="B23" s="39">
        <v>0</v>
      </c>
      <c r="C23" s="39">
        <v>0</v>
      </c>
      <c r="D23" s="39">
        <v>0</v>
      </c>
      <c r="E23" s="40">
        <f t="shared" si="0"/>
        <v>0</v>
      </c>
      <c r="F23" s="19"/>
    </row>
    <row r="24" spans="1:6" ht="15" customHeight="1" x14ac:dyDescent="0.2">
      <c r="A24" s="38">
        <f>DATE('Grunddaten &amp; Hinweise'!$B$5,12,18)</f>
        <v>45644</v>
      </c>
      <c r="B24" s="39">
        <v>0</v>
      </c>
      <c r="C24" s="39">
        <v>0</v>
      </c>
      <c r="D24" s="39">
        <v>0</v>
      </c>
      <c r="E24" s="40">
        <f t="shared" si="0"/>
        <v>0</v>
      </c>
      <c r="F24" s="19"/>
    </row>
    <row r="25" spans="1:6" ht="15" customHeight="1" x14ac:dyDescent="0.2">
      <c r="A25" s="38">
        <f>DATE('Grunddaten &amp; Hinweise'!$B$5,12,19)</f>
        <v>45645</v>
      </c>
      <c r="B25" s="39">
        <v>0</v>
      </c>
      <c r="C25" s="39">
        <v>0</v>
      </c>
      <c r="D25" s="39">
        <v>0</v>
      </c>
      <c r="E25" s="40">
        <f t="shared" si="0"/>
        <v>0</v>
      </c>
      <c r="F25" s="19"/>
    </row>
    <row r="26" spans="1:6" ht="15" customHeight="1" x14ac:dyDescent="0.2">
      <c r="A26" s="38">
        <f>DATE('Grunddaten &amp; Hinweise'!$B$5,12,20)</f>
        <v>45646</v>
      </c>
      <c r="B26" s="39">
        <v>0</v>
      </c>
      <c r="C26" s="39">
        <v>0</v>
      </c>
      <c r="D26" s="39">
        <v>0</v>
      </c>
      <c r="E26" s="40">
        <f t="shared" si="0"/>
        <v>0</v>
      </c>
      <c r="F26" s="19"/>
    </row>
    <row r="27" spans="1:6" ht="15" customHeight="1" x14ac:dyDescent="0.2">
      <c r="A27" s="38">
        <f>DATE('Grunddaten &amp; Hinweise'!$B$5,12,21)</f>
        <v>45647</v>
      </c>
      <c r="B27" s="39">
        <v>0</v>
      </c>
      <c r="C27" s="39">
        <v>0</v>
      </c>
      <c r="D27" s="39">
        <v>0</v>
      </c>
      <c r="E27" s="40">
        <f t="shared" si="0"/>
        <v>0</v>
      </c>
      <c r="F27" s="19"/>
    </row>
    <row r="28" spans="1:6" ht="15" customHeight="1" x14ac:dyDescent="0.2">
      <c r="A28" s="38">
        <f>DATE('Grunddaten &amp; Hinweise'!$B$5,12,22)</f>
        <v>45648</v>
      </c>
      <c r="B28" s="39">
        <v>0</v>
      </c>
      <c r="C28" s="39">
        <v>0</v>
      </c>
      <c r="D28" s="39">
        <v>0</v>
      </c>
      <c r="E28" s="40">
        <f t="shared" si="0"/>
        <v>0</v>
      </c>
      <c r="F28" s="19"/>
    </row>
    <row r="29" spans="1:6" ht="15" customHeight="1" x14ac:dyDescent="0.2">
      <c r="A29" s="38">
        <f>DATE('Grunddaten &amp; Hinweise'!$B$5,12,23)</f>
        <v>45649</v>
      </c>
      <c r="B29" s="39">
        <v>0</v>
      </c>
      <c r="C29" s="39">
        <v>0</v>
      </c>
      <c r="D29" s="39">
        <v>0</v>
      </c>
      <c r="E29" s="40">
        <f t="shared" si="0"/>
        <v>0</v>
      </c>
      <c r="F29" s="19"/>
    </row>
    <row r="30" spans="1:6" ht="15" customHeight="1" x14ac:dyDescent="0.2">
      <c r="A30" s="38">
        <f>DATE('Grunddaten &amp; Hinweise'!$B$5,12,24)</f>
        <v>45650</v>
      </c>
      <c r="B30" s="39">
        <v>0</v>
      </c>
      <c r="C30" s="39">
        <v>0</v>
      </c>
      <c r="D30" s="39">
        <v>0</v>
      </c>
      <c r="E30" s="40">
        <f t="shared" si="0"/>
        <v>0</v>
      </c>
      <c r="F30" s="19"/>
    </row>
    <row r="31" spans="1:6" ht="15" customHeight="1" x14ac:dyDescent="0.2">
      <c r="A31" s="38">
        <f>DATE('Grunddaten &amp; Hinweise'!$B$5,12,25)</f>
        <v>45651</v>
      </c>
      <c r="B31" s="39">
        <v>0</v>
      </c>
      <c r="C31" s="39">
        <v>0</v>
      </c>
      <c r="D31" s="39">
        <v>0</v>
      </c>
      <c r="E31" s="40">
        <f t="shared" si="0"/>
        <v>0</v>
      </c>
      <c r="F31" s="19"/>
    </row>
    <row r="32" spans="1:6" ht="15" customHeight="1" x14ac:dyDescent="0.2">
      <c r="A32" s="38">
        <f>DATE('Grunddaten &amp; Hinweise'!$B$5,12,26)</f>
        <v>45652</v>
      </c>
      <c r="B32" s="39">
        <v>0</v>
      </c>
      <c r="C32" s="39">
        <v>0</v>
      </c>
      <c r="D32" s="39">
        <v>0</v>
      </c>
      <c r="E32" s="40">
        <f t="shared" si="0"/>
        <v>0</v>
      </c>
      <c r="F32" s="19"/>
    </row>
    <row r="33" spans="1:6" ht="15" customHeight="1" x14ac:dyDescent="0.2">
      <c r="A33" s="38">
        <f>DATE('Grunddaten &amp; Hinweise'!$B$5,12,27)</f>
        <v>45653</v>
      </c>
      <c r="B33" s="39">
        <v>0</v>
      </c>
      <c r="C33" s="39">
        <v>0</v>
      </c>
      <c r="D33" s="39">
        <v>0</v>
      </c>
      <c r="E33" s="40">
        <f t="shared" si="0"/>
        <v>0</v>
      </c>
      <c r="F33" s="19"/>
    </row>
    <row r="34" spans="1:6" ht="15" customHeight="1" x14ac:dyDescent="0.2">
      <c r="A34" s="38">
        <f>DATE('Grunddaten &amp; Hinweise'!$B$5,12,28)</f>
        <v>45654</v>
      </c>
      <c r="B34" s="39">
        <v>0</v>
      </c>
      <c r="C34" s="39">
        <v>0</v>
      </c>
      <c r="D34" s="39">
        <v>0</v>
      </c>
      <c r="E34" s="40">
        <f t="shared" si="0"/>
        <v>0</v>
      </c>
      <c r="F34" s="19"/>
    </row>
    <row r="35" spans="1:6" ht="15" customHeight="1" x14ac:dyDescent="0.2">
      <c r="A35" s="38">
        <f>DATE('Grunddaten &amp; Hinweise'!$B$5,12,29)</f>
        <v>45655</v>
      </c>
      <c r="B35" s="39">
        <v>0</v>
      </c>
      <c r="C35" s="39">
        <v>0</v>
      </c>
      <c r="D35" s="39">
        <v>0</v>
      </c>
      <c r="E35" s="40">
        <f t="shared" si="0"/>
        <v>0</v>
      </c>
      <c r="F35" s="19"/>
    </row>
    <row r="36" spans="1:6" ht="15" customHeight="1" x14ac:dyDescent="0.2">
      <c r="A36" s="38">
        <f>DATE('Grunddaten &amp; Hinweise'!$B$5,12,30)</f>
        <v>45656</v>
      </c>
      <c r="B36" s="39">
        <v>0</v>
      </c>
      <c r="C36" s="39">
        <v>0</v>
      </c>
      <c r="D36" s="39">
        <v>0</v>
      </c>
      <c r="E36" s="40">
        <f t="shared" si="0"/>
        <v>0</v>
      </c>
      <c r="F36" s="19"/>
    </row>
    <row r="37" spans="1:6" ht="15" customHeight="1" x14ac:dyDescent="0.2">
      <c r="A37" s="42">
        <f>DATE('Grunddaten &amp; Hinweise'!$B$5,12,31)</f>
        <v>45657</v>
      </c>
      <c r="B37" s="39">
        <v>0</v>
      </c>
      <c r="C37" s="39">
        <v>0</v>
      </c>
      <c r="D37" s="39">
        <v>0</v>
      </c>
      <c r="E37" s="44">
        <f t="shared" si="0"/>
        <v>0</v>
      </c>
      <c r="F37" s="45"/>
    </row>
    <row r="38" spans="1:6" ht="15" customHeight="1" x14ac:dyDescent="0.2">
      <c r="A38" s="38"/>
      <c r="B38" s="46"/>
      <c r="C38" s="46"/>
      <c r="D38" s="46"/>
      <c r="E38" s="47">
        <f>SUM(E7:E37)</f>
        <v>0</v>
      </c>
    </row>
    <row r="39" spans="1:6" ht="15" customHeight="1" thickBot="1" x14ac:dyDescent="0.25"/>
    <row r="40" spans="1:6" ht="15" customHeight="1" thickBot="1" x14ac:dyDescent="0.25">
      <c r="C40" s="4"/>
      <c r="D40" s="48" t="s">
        <v>22</v>
      </c>
      <c r="E40" s="49">
        <f>SUM(E7:E37)*24</f>
        <v>0</v>
      </c>
      <c r="F40" s="2" t="s">
        <v>21</v>
      </c>
    </row>
    <row r="41" spans="1:6" ht="15" customHeight="1" thickBot="1" x14ac:dyDescent="0.25">
      <c r="C41" s="4"/>
      <c r="D41" s="48" t="s">
        <v>23</v>
      </c>
      <c r="E41" s="49">
        <f>'Grunddaten &amp; Hinweise'!B19</f>
        <v>0</v>
      </c>
      <c r="F41" s="2" t="s">
        <v>21</v>
      </c>
    </row>
    <row r="42" spans="1:6" ht="15" customHeight="1" thickBot="1" x14ac:dyDescent="0.3">
      <c r="C42" s="4"/>
      <c r="D42" s="53" t="s">
        <v>86</v>
      </c>
      <c r="E42" s="51">
        <f>E40-E41</f>
        <v>0</v>
      </c>
      <c r="F42" s="2" t="s">
        <v>21</v>
      </c>
    </row>
    <row r="43" spans="1:6" ht="15" customHeight="1" x14ac:dyDescent="0.2"/>
    <row r="44" spans="1:6" ht="15" customHeight="1" x14ac:dyDescent="0.2"/>
    <row r="45" spans="1:6" ht="15" customHeight="1" x14ac:dyDescent="0.2">
      <c r="A45" s="4" t="s">
        <v>60</v>
      </c>
      <c r="B45" s="13"/>
      <c r="C45" s="13"/>
      <c r="D45" s="13"/>
    </row>
    <row r="46" spans="1:6" ht="15" customHeight="1" x14ac:dyDescent="0.2"/>
  </sheetData>
  <mergeCells count="4">
    <mergeCell ref="B1:E1"/>
    <mergeCell ref="B2:E2"/>
    <mergeCell ref="B3:E3"/>
    <mergeCell ref="B4:E4"/>
  </mergeCells>
  <conditionalFormatting sqref="A38">
    <cfRule type="timePeriod" dxfId="6" priority="14" timePeriod="today">
      <formula>FLOOR(A38,1)=TODAY()</formula>
    </cfRule>
    <cfRule type="expression" dxfId="5" priority="15">
      <formula>OR(WEEKDAY(A38,1)=7,WEEKDAY(A38,1)=1)</formula>
    </cfRule>
  </conditionalFormatting>
  <conditionalFormatting sqref="B7:E7 B38:D38 E8:E37">
    <cfRule type="cellIs" dxfId="4" priority="13" operator="equal">
      <formula>0</formula>
    </cfRule>
  </conditionalFormatting>
  <conditionalFormatting sqref="E38">
    <cfRule type="cellIs" dxfId="3" priority="12" operator="equal">
      <formula>0</formula>
    </cfRule>
  </conditionalFormatting>
  <conditionalFormatting sqref="A7:A37">
    <cfRule type="timePeriod" dxfId="2" priority="10" timePeriod="today">
      <formula>FLOOR(A7,1)=TODAY()</formula>
    </cfRule>
    <cfRule type="expression" dxfId="1" priority="11">
      <formula>OR(WEEKDAY(A7,1)=7,WEEKDAY(A7,1)=1)</formula>
    </cfRule>
  </conditionalFormatting>
  <conditionalFormatting sqref="B8:D37">
    <cfRule type="cellIs" dxfId="0" priority="1" operator="equal">
      <formula>0</formula>
    </cfRule>
  </conditionalFormatting>
  <pageMargins left="0.70866141732283472" right="0.70866141732283472" top="1.2204724409448819" bottom="0.78740157480314965" header="0.6692913385826772" footer="0.31496062992125984"/>
  <pageSetup paperSize="9" orientation="portrait" horizontalDpi="4294967294" r:id="rId1"/>
  <headerFooter>
    <oddHeader>&amp;LStundennachweis über die geleistete Monatsarbeitszeit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G36"/>
  <sheetViews>
    <sheetView tabSelected="1" topLeftCell="A13" zoomScaleNormal="100" workbookViewId="0">
      <selection activeCell="B8" sqref="B8"/>
    </sheetView>
  </sheetViews>
  <sheetFormatPr baseColWidth="10" defaultColWidth="11.42578125" defaultRowHeight="15" x14ac:dyDescent="0.2"/>
  <cols>
    <col min="1" max="1" width="29.140625" style="29" customWidth="1"/>
    <col min="2" max="2" width="13.5703125" style="29" customWidth="1"/>
    <col min="3" max="3" width="13" style="29" customWidth="1"/>
    <col min="4" max="4" width="10.28515625" style="29" customWidth="1"/>
    <col min="5" max="5" width="11.42578125" style="29"/>
    <col min="6" max="6" width="8.28515625" style="29" customWidth="1"/>
    <col min="7" max="7" width="54.42578125" style="29" customWidth="1"/>
    <col min="8" max="16384" width="11.42578125" style="29"/>
  </cols>
  <sheetData>
    <row r="1" spans="1:7" ht="15.75" x14ac:dyDescent="0.25">
      <c r="A1" s="26" t="s">
        <v>2</v>
      </c>
      <c r="B1" s="97" t="str">
        <f>'Grunddaten &amp; Hinweise'!B1</f>
        <v>Max Mustermann</v>
      </c>
      <c r="C1" s="97"/>
      <c r="D1" s="97"/>
      <c r="E1" s="97"/>
      <c r="F1" s="54"/>
      <c r="G1" s="28"/>
    </row>
    <row r="2" spans="1:7" ht="30.2" customHeight="1" x14ac:dyDescent="0.2">
      <c r="A2" s="55" t="s">
        <v>5</v>
      </c>
      <c r="B2" s="98" t="str">
        <f>'Grunddaten &amp; Hinweise'!B2</f>
        <v>Musterinstitut</v>
      </c>
      <c r="C2" s="98"/>
      <c r="D2" s="98"/>
      <c r="E2" s="98"/>
      <c r="F2" s="28"/>
      <c r="G2" s="28"/>
    </row>
    <row r="3" spans="1:7" x14ac:dyDescent="0.2">
      <c r="A3" s="55" t="s">
        <v>6</v>
      </c>
      <c r="B3" s="99" t="str">
        <f>'Grunddaten &amp; Hinweise'!B3</f>
        <v>Max Mustermann</v>
      </c>
      <c r="C3" s="99"/>
      <c r="D3" s="99"/>
      <c r="E3" s="99"/>
      <c r="F3" s="28"/>
      <c r="G3" s="28"/>
    </row>
    <row r="4" spans="1:7" x14ac:dyDescent="0.2">
      <c r="A4" s="55" t="s">
        <v>29</v>
      </c>
      <c r="B4" s="99" t="str">
        <f>'Grunddaten &amp; Hinweise'!B4</f>
        <v>Studentische Hilfskraft</v>
      </c>
      <c r="C4" s="99"/>
      <c r="D4" s="99"/>
      <c r="E4" s="99"/>
      <c r="F4" s="28"/>
      <c r="G4" s="28"/>
    </row>
    <row r="5" spans="1:7" x14ac:dyDescent="0.2">
      <c r="A5" s="55" t="s">
        <v>31</v>
      </c>
      <c r="B5" s="99">
        <f>'Grunddaten &amp; Hinweise'!B5</f>
        <v>2024</v>
      </c>
      <c r="C5" s="99"/>
      <c r="D5" s="99"/>
      <c r="E5" s="99"/>
      <c r="F5" s="28"/>
    </row>
    <row r="6" spans="1:7" x14ac:dyDescent="0.2">
      <c r="A6" s="56"/>
    </row>
    <row r="7" spans="1:7" ht="57.75" customHeight="1" x14ac:dyDescent="0.25">
      <c r="A7" s="77" t="s">
        <v>24</v>
      </c>
      <c r="B7" s="58" t="s">
        <v>25</v>
      </c>
      <c r="C7" s="58" t="s">
        <v>4</v>
      </c>
      <c r="D7" s="57" t="s">
        <v>3</v>
      </c>
      <c r="E7" s="58" t="s">
        <v>84</v>
      </c>
      <c r="G7" s="28"/>
    </row>
    <row r="8" spans="1:7" ht="15.75" x14ac:dyDescent="0.25">
      <c r="A8" s="26" t="s">
        <v>7</v>
      </c>
      <c r="B8" s="59">
        <f>'Grunddaten &amp; Hinweise'!B8</f>
        <v>0</v>
      </c>
      <c r="C8" s="59">
        <f>Januar!E40</f>
        <v>0</v>
      </c>
      <c r="D8" s="60">
        <f t="shared" ref="D8:D20" si="0">B8-C8</f>
        <v>0</v>
      </c>
      <c r="E8" s="60">
        <f t="shared" ref="E8:E19" si="1">B8/26*2</f>
        <v>0</v>
      </c>
      <c r="G8" s="28"/>
    </row>
    <row r="9" spans="1:7" ht="15.75" x14ac:dyDescent="0.25">
      <c r="A9" s="26" t="s">
        <v>8</v>
      </c>
      <c r="B9" s="59">
        <f>'Grunddaten &amp; Hinweise'!B9</f>
        <v>0</v>
      </c>
      <c r="C9" s="59">
        <f>Februar!E40</f>
        <v>0</v>
      </c>
      <c r="D9" s="60">
        <f t="shared" si="0"/>
        <v>0</v>
      </c>
      <c r="E9" s="60">
        <f t="shared" si="1"/>
        <v>0</v>
      </c>
      <c r="G9" s="28"/>
    </row>
    <row r="10" spans="1:7" ht="15.75" x14ac:dyDescent="0.25">
      <c r="A10" s="26" t="s">
        <v>9</v>
      </c>
      <c r="B10" s="59">
        <f>'Grunddaten &amp; Hinweise'!B10</f>
        <v>0</v>
      </c>
      <c r="C10" s="59">
        <f>März!E40</f>
        <v>0</v>
      </c>
      <c r="D10" s="60">
        <f t="shared" si="0"/>
        <v>0</v>
      </c>
      <c r="E10" s="60">
        <f t="shared" si="1"/>
        <v>0</v>
      </c>
      <c r="G10" s="28"/>
    </row>
    <row r="11" spans="1:7" ht="15.75" x14ac:dyDescent="0.25">
      <c r="A11" s="26" t="s">
        <v>10</v>
      </c>
      <c r="B11" s="59">
        <f>'Grunddaten &amp; Hinweise'!B11</f>
        <v>0</v>
      </c>
      <c r="C11" s="59">
        <f>April!E40</f>
        <v>0</v>
      </c>
      <c r="D11" s="60">
        <f t="shared" si="0"/>
        <v>0</v>
      </c>
      <c r="E11" s="60">
        <f t="shared" si="1"/>
        <v>0</v>
      </c>
      <c r="G11" s="28"/>
    </row>
    <row r="12" spans="1:7" ht="15.75" x14ac:dyDescent="0.25">
      <c r="A12" s="26" t="s">
        <v>11</v>
      </c>
      <c r="B12" s="59">
        <f>'Grunddaten &amp; Hinweise'!B12</f>
        <v>0</v>
      </c>
      <c r="C12" s="59">
        <f>Mai!E40</f>
        <v>0</v>
      </c>
      <c r="D12" s="60">
        <f t="shared" si="0"/>
        <v>0</v>
      </c>
      <c r="E12" s="60">
        <f t="shared" si="1"/>
        <v>0</v>
      </c>
      <c r="G12" s="28"/>
    </row>
    <row r="13" spans="1:7" ht="15.75" x14ac:dyDescent="0.25">
      <c r="A13" s="26" t="s">
        <v>12</v>
      </c>
      <c r="B13" s="59">
        <f>'Grunddaten &amp; Hinweise'!B13</f>
        <v>0</v>
      </c>
      <c r="C13" s="59">
        <f>Juni!E40</f>
        <v>0</v>
      </c>
      <c r="D13" s="60">
        <f t="shared" si="0"/>
        <v>0</v>
      </c>
      <c r="E13" s="60">
        <f t="shared" si="1"/>
        <v>0</v>
      </c>
      <c r="G13" s="28"/>
    </row>
    <row r="14" spans="1:7" ht="15.75" x14ac:dyDescent="0.25">
      <c r="A14" s="26" t="s">
        <v>13</v>
      </c>
      <c r="B14" s="59">
        <f>'Grunddaten &amp; Hinweise'!B14</f>
        <v>0</v>
      </c>
      <c r="C14" s="59">
        <f>Juli!E40</f>
        <v>0</v>
      </c>
      <c r="D14" s="60">
        <f t="shared" si="0"/>
        <v>0</v>
      </c>
      <c r="E14" s="60">
        <f t="shared" si="1"/>
        <v>0</v>
      </c>
      <c r="G14" s="28"/>
    </row>
    <row r="15" spans="1:7" ht="15.75" x14ac:dyDescent="0.25">
      <c r="A15" s="26" t="s">
        <v>14</v>
      </c>
      <c r="B15" s="59">
        <f>'Grunddaten &amp; Hinweise'!B15</f>
        <v>0</v>
      </c>
      <c r="C15" s="59">
        <f>August!E40</f>
        <v>0</v>
      </c>
      <c r="D15" s="60">
        <f t="shared" si="0"/>
        <v>0</v>
      </c>
      <c r="E15" s="60">
        <f t="shared" si="1"/>
        <v>0</v>
      </c>
      <c r="G15" s="28"/>
    </row>
    <row r="16" spans="1:7" ht="15.75" x14ac:dyDescent="0.25">
      <c r="A16" s="26" t="s">
        <v>15</v>
      </c>
      <c r="B16" s="59">
        <f>'Grunddaten &amp; Hinweise'!B16</f>
        <v>0</v>
      </c>
      <c r="C16" s="59">
        <f>September!E40</f>
        <v>0</v>
      </c>
      <c r="D16" s="60">
        <f t="shared" si="0"/>
        <v>0</v>
      </c>
      <c r="E16" s="60">
        <f t="shared" si="1"/>
        <v>0</v>
      </c>
      <c r="G16" s="28"/>
    </row>
    <row r="17" spans="1:7" ht="15.75" x14ac:dyDescent="0.25">
      <c r="A17" s="26" t="s">
        <v>16</v>
      </c>
      <c r="B17" s="59">
        <f>'Grunddaten &amp; Hinweise'!B17</f>
        <v>0</v>
      </c>
      <c r="C17" s="59">
        <f>Oktober!E40</f>
        <v>0</v>
      </c>
      <c r="D17" s="60">
        <f t="shared" si="0"/>
        <v>0</v>
      </c>
      <c r="E17" s="60">
        <f t="shared" si="1"/>
        <v>0</v>
      </c>
      <c r="G17" s="28"/>
    </row>
    <row r="18" spans="1:7" ht="15.75" x14ac:dyDescent="0.25">
      <c r="A18" s="26" t="s">
        <v>17</v>
      </c>
      <c r="B18" s="59">
        <f>'Grunddaten &amp; Hinweise'!B18</f>
        <v>0</v>
      </c>
      <c r="C18" s="59">
        <f>November!E40</f>
        <v>0</v>
      </c>
      <c r="D18" s="60">
        <f t="shared" si="0"/>
        <v>0</v>
      </c>
      <c r="E18" s="60">
        <f t="shared" si="1"/>
        <v>0</v>
      </c>
      <c r="G18" s="28"/>
    </row>
    <row r="19" spans="1:7" ht="16.5" thickBot="1" x14ac:dyDescent="0.3">
      <c r="A19" s="78" t="s">
        <v>18</v>
      </c>
      <c r="B19" s="62">
        <f>'Grunddaten &amp; Hinweise'!B19</f>
        <v>0</v>
      </c>
      <c r="C19" s="62">
        <f>Dezember!E40</f>
        <v>0</v>
      </c>
      <c r="D19" s="60">
        <f t="shared" si="0"/>
        <v>0</v>
      </c>
      <c r="E19" s="60">
        <f t="shared" si="1"/>
        <v>0</v>
      </c>
      <c r="G19" s="28"/>
    </row>
    <row r="20" spans="1:7" ht="15.75" x14ac:dyDescent="0.25">
      <c r="A20" s="30" t="s">
        <v>62</v>
      </c>
      <c r="B20" s="31">
        <f>SUM(B8:B19)</f>
        <v>0</v>
      </c>
      <c r="C20" s="31">
        <f>SUM(C8:C19)</f>
        <v>0</v>
      </c>
      <c r="D20" s="31">
        <f t="shared" si="0"/>
        <v>0</v>
      </c>
      <c r="E20" s="31">
        <f>ROUND(SUM(E8:E19),0)</f>
        <v>0</v>
      </c>
      <c r="F20" s="27"/>
      <c r="G20" s="28"/>
    </row>
    <row r="21" spans="1:7" ht="15.75" x14ac:dyDescent="0.25">
      <c r="A21" s="26" t="s">
        <v>77</v>
      </c>
      <c r="B21" s="32">
        <f>E20</f>
        <v>0</v>
      </c>
      <c r="C21" s="33" t="s">
        <v>85</v>
      </c>
      <c r="E21" s="63"/>
      <c r="F21" s="27"/>
      <c r="G21" s="28"/>
    </row>
    <row r="22" spans="1:7" hidden="1" x14ac:dyDescent="0.2">
      <c r="A22" s="64" t="s">
        <v>63</v>
      </c>
      <c r="B22" s="65">
        <f>B20-B21</f>
        <v>0</v>
      </c>
      <c r="C22" s="66">
        <f>ROUND(SUM(C8:C19),2)</f>
        <v>0</v>
      </c>
      <c r="D22" s="65">
        <f>B22-C22</f>
        <v>0</v>
      </c>
      <c r="E22" s="27"/>
      <c r="F22" s="27"/>
      <c r="G22" s="28"/>
    </row>
    <row r="23" spans="1:7" hidden="1" x14ac:dyDescent="0.2">
      <c r="A23" s="67" t="s">
        <v>56</v>
      </c>
      <c r="B23" s="68">
        <f>ROUNDDOWN(B22,0)</f>
        <v>0</v>
      </c>
      <c r="C23" s="69">
        <f>ROUNDDOWN(C22,0)</f>
        <v>0</v>
      </c>
      <c r="D23" s="68">
        <f>ROUNDDOWN(D22,0)</f>
        <v>0</v>
      </c>
      <c r="E23" s="27"/>
      <c r="G23" s="28"/>
    </row>
    <row r="24" spans="1:7" ht="15.75" hidden="1" thickBot="1" x14ac:dyDescent="0.25">
      <c r="A24" s="70" t="s">
        <v>55</v>
      </c>
      <c r="B24" s="71">
        <f>ROUNDDOWN(((B22-B23)*60),0)</f>
        <v>0</v>
      </c>
      <c r="C24" s="72">
        <f>ROUNDDOWN(((C22-C23)*60),0)</f>
        <v>0</v>
      </c>
      <c r="D24" s="71">
        <f>ROUNDDOWN(((D22-D23)*60),0)</f>
        <v>0</v>
      </c>
      <c r="E24" s="27"/>
    </row>
    <row r="25" spans="1:7" x14ac:dyDescent="0.2">
      <c r="A25" s="61"/>
      <c r="B25" s="29" t="s">
        <v>78</v>
      </c>
      <c r="C25" s="73"/>
      <c r="D25" s="73"/>
      <c r="E25" s="27"/>
    </row>
    <row r="26" spans="1:7" x14ac:dyDescent="0.2">
      <c r="A26" s="56"/>
      <c r="B26" s="74"/>
      <c r="C26" s="74"/>
      <c r="D26" s="74"/>
      <c r="E26" s="74"/>
    </row>
    <row r="27" spans="1:7" s="28" customFormat="1" ht="23.25" customHeight="1" x14ac:dyDescent="0.25">
      <c r="A27" s="54" t="s">
        <v>79</v>
      </c>
    </row>
    <row r="28" spans="1:7" ht="15.75" x14ac:dyDescent="0.25">
      <c r="A28" s="33" t="s">
        <v>80</v>
      </c>
      <c r="B28" s="75"/>
    </row>
    <row r="29" spans="1:7" ht="24" customHeight="1" x14ac:dyDescent="0.2">
      <c r="A29" s="76" t="s">
        <v>81</v>
      </c>
      <c r="B29" s="75"/>
    </row>
    <row r="30" spans="1:7" ht="15.75" x14ac:dyDescent="0.25">
      <c r="A30" s="33" t="s">
        <v>82</v>
      </c>
    </row>
    <row r="31" spans="1:7" ht="15" customHeight="1" x14ac:dyDescent="0.25">
      <c r="A31" s="96" t="s">
        <v>83</v>
      </c>
      <c r="B31" s="96"/>
      <c r="C31" s="96"/>
      <c r="D31" s="96"/>
      <c r="E31" s="96"/>
      <c r="F31" s="96"/>
    </row>
    <row r="32" spans="1:7" ht="15.75" x14ac:dyDescent="0.25">
      <c r="A32" s="33" t="s">
        <v>90</v>
      </c>
    </row>
    <row r="33" spans="1:6" ht="15.75" x14ac:dyDescent="0.25">
      <c r="A33" s="33"/>
    </row>
    <row r="34" spans="1:6" hidden="1" x14ac:dyDescent="0.2"/>
    <row r="36" spans="1:6" x14ac:dyDescent="0.2">
      <c r="A36" s="95"/>
      <c r="B36" s="95"/>
      <c r="C36" s="95"/>
      <c r="D36" s="95"/>
      <c r="E36" s="95"/>
      <c r="F36" s="95"/>
    </row>
  </sheetData>
  <mergeCells count="7">
    <mergeCell ref="A36:F36"/>
    <mergeCell ref="A31:F31"/>
    <mergeCell ref="B1:E1"/>
    <mergeCell ref="B2:E2"/>
    <mergeCell ref="B3:E3"/>
    <mergeCell ref="B4:E4"/>
    <mergeCell ref="B5:E5"/>
  </mergeCells>
  <conditionalFormatting sqref="D17">
    <cfRule type="cellIs" dxfId="90" priority="7" operator="lessThan">
      <formula>0</formula>
    </cfRule>
    <cfRule type="cellIs" dxfId="89" priority="9" operator="greaterThan">
      <formula>0</formula>
    </cfRule>
  </conditionalFormatting>
  <conditionalFormatting sqref="D8:D16">
    <cfRule type="cellIs" dxfId="88" priority="5" operator="lessThan">
      <formula>0</formula>
    </cfRule>
    <cfRule type="cellIs" dxfId="87" priority="6" operator="greaterThan">
      <formula>0</formula>
    </cfRule>
  </conditionalFormatting>
  <conditionalFormatting sqref="D18:D19">
    <cfRule type="cellIs" dxfId="86" priority="3" operator="lessThan">
      <formula>0</formula>
    </cfRule>
    <cfRule type="cellIs" dxfId="85" priority="4" operator="greaterThan">
      <formula>0</formula>
    </cfRule>
  </conditionalFormatting>
  <conditionalFormatting sqref="D20">
    <cfRule type="cellIs" dxfId="84" priority="1" operator="lessThan">
      <formula>0</formula>
    </cfRule>
    <cfRule type="cellIs" dxfId="83" priority="2" operator="greaterThan">
      <formula>0</formula>
    </cfRule>
  </conditionalFormatting>
  <pageMargins left="0.70866141732283472" right="0.70866141732283472" top="1.2204724409448819" bottom="0.78740157480314965" header="0.6692913385826772" footer="0.31496062992125984"/>
  <pageSetup paperSize="9" orientation="portrait" horizontalDpi="4294967294" r:id="rId1"/>
  <headerFooter>
    <oddHeader>&amp;L&amp;"Arial,Fett"&amp;12Übersicht Gesamtstunden und Urlaubsanspruch für Vertragslaufzeit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3" tint="0.59999389629810485"/>
  </sheetPr>
  <dimension ref="A1:H55"/>
  <sheetViews>
    <sheetView topLeftCell="A19" workbookViewId="0">
      <selection activeCell="B15" sqref="B15"/>
    </sheetView>
  </sheetViews>
  <sheetFormatPr baseColWidth="10" defaultColWidth="11.42578125" defaultRowHeight="14.25" x14ac:dyDescent="0.2"/>
  <cols>
    <col min="1" max="1" width="23.5703125" style="2" bestFit="1" customWidth="1"/>
    <col min="2" max="4" width="11.5703125" style="2" bestFit="1" customWidth="1"/>
    <col min="5" max="5" width="11.42578125" style="2" customWidth="1"/>
    <col min="6" max="6" width="19.28515625" style="2" customWidth="1"/>
    <col min="7" max="7" width="4" style="2" customWidth="1"/>
    <col min="8" max="16384" width="11.42578125" style="2"/>
  </cols>
  <sheetData>
    <row r="1" spans="1:8" ht="15" customHeight="1" x14ac:dyDescent="0.25">
      <c r="A1" s="1" t="s">
        <v>2</v>
      </c>
      <c r="B1" s="100" t="str">
        <f>'Grunddaten &amp; Hinweise'!B1</f>
        <v>Max Mustermann</v>
      </c>
      <c r="C1" s="100"/>
      <c r="D1" s="100"/>
      <c r="E1" s="100"/>
      <c r="H1" s="8"/>
    </row>
    <row r="2" spans="1:8" ht="30.2" customHeight="1" x14ac:dyDescent="0.2">
      <c r="A2" s="3" t="s">
        <v>5</v>
      </c>
      <c r="B2" s="101" t="str">
        <f>'Grunddaten &amp; Hinweise'!B2</f>
        <v>Musterinstitut</v>
      </c>
      <c r="C2" s="101"/>
      <c r="D2" s="101"/>
      <c r="E2" s="101"/>
    </row>
    <row r="3" spans="1:8" ht="15" customHeight="1" x14ac:dyDescent="0.2">
      <c r="A3" s="3" t="s">
        <v>6</v>
      </c>
      <c r="B3" s="102" t="str">
        <f>'Grunddaten &amp; Hinweise'!B3</f>
        <v>Max Mustermann</v>
      </c>
      <c r="C3" s="102"/>
      <c r="D3" s="102"/>
      <c r="E3" s="102"/>
      <c r="H3" s="34"/>
    </row>
    <row r="4" spans="1:8" ht="15" customHeight="1" x14ac:dyDescent="0.2">
      <c r="A4" s="3" t="s">
        <v>29</v>
      </c>
      <c r="B4" s="103" t="str">
        <f>'Grunddaten &amp; Hinweise'!B4</f>
        <v>Studentische Hilfskraft</v>
      </c>
      <c r="C4" s="103"/>
      <c r="D4" s="103"/>
      <c r="E4" s="103"/>
    </row>
    <row r="5" spans="1:8" ht="15" customHeight="1" x14ac:dyDescent="0.25">
      <c r="E5" s="35" t="s">
        <v>64</v>
      </c>
    </row>
    <row r="6" spans="1:8" ht="15" customHeight="1" x14ac:dyDescent="0.25">
      <c r="A6" s="24" t="s">
        <v>0</v>
      </c>
      <c r="B6" s="24" t="s">
        <v>58</v>
      </c>
      <c r="C6" s="24" t="s">
        <v>59</v>
      </c>
      <c r="D6" s="24" t="s">
        <v>1</v>
      </c>
      <c r="E6" s="6" t="s">
        <v>65</v>
      </c>
      <c r="F6" s="36" t="s">
        <v>26</v>
      </c>
      <c r="H6" s="37"/>
    </row>
    <row r="7" spans="1:8" ht="15" customHeight="1" x14ac:dyDescent="0.25">
      <c r="A7" s="38">
        <f>DATE('Grunddaten &amp; Hinweise'!$B$5,1,1)</f>
        <v>45292</v>
      </c>
      <c r="B7" s="39">
        <v>0</v>
      </c>
      <c r="C7" s="39">
        <v>0</v>
      </c>
      <c r="D7" s="39">
        <v>0</v>
      </c>
      <c r="E7" s="40">
        <f>C7-B7-D7</f>
        <v>0</v>
      </c>
      <c r="F7" s="19"/>
      <c r="G7" s="41"/>
    </row>
    <row r="8" spans="1:8" ht="15" customHeight="1" x14ac:dyDescent="0.2">
      <c r="A8" s="38">
        <f>DATE('Grunddaten &amp; Hinweise'!$B$5,1,2)</f>
        <v>45293</v>
      </c>
      <c r="B8" s="39">
        <v>0</v>
      </c>
      <c r="C8" s="39">
        <v>0</v>
      </c>
      <c r="D8" s="39">
        <v>0</v>
      </c>
      <c r="E8" s="40">
        <f>C8-B8-D8</f>
        <v>0</v>
      </c>
      <c r="F8" s="19"/>
    </row>
    <row r="9" spans="1:8" ht="15" customHeight="1" x14ac:dyDescent="0.2">
      <c r="A9" s="38">
        <f>DATE('Grunddaten &amp; Hinweise'!$B$5,1,3)</f>
        <v>45294</v>
      </c>
      <c r="B9" s="39">
        <v>0</v>
      </c>
      <c r="C9" s="39">
        <v>0</v>
      </c>
      <c r="D9" s="39">
        <v>0</v>
      </c>
      <c r="E9" s="40">
        <f t="shared" ref="E9:E37" si="0">C9-B9-D9</f>
        <v>0</v>
      </c>
      <c r="F9" s="19"/>
    </row>
    <row r="10" spans="1:8" ht="15" customHeight="1" x14ac:dyDescent="0.2">
      <c r="A10" s="38">
        <f>DATE('Grunddaten &amp; Hinweise'!$B$5,1,4)</f>
        <v>45295</v>
      </c>
      <c r="B10" s="39">
        <v>0</v>
      </c>
      <c r="C10" s="39">
        <v>0</v>
      </c>
      <c r="D10" s="39">
        <v>0</v>
      </c>
      <c r="E10" s="40">
        <f t="shared" si="0"/>
        <v>0</v>
      </c>
      <c r="F10" s="19"/>
    </row>
    <row r="11" spans="1:8" ht="15" customHeight="1" x14ac:dyDescent="0.2">
      <c r="A11" s="38">
        <f>DATE('Grunddaten &amp; Hinweise'!$B$5,1,5)</f>
        <v>45296</v>
      </c>
      <c r="B11" s="39">
        <v>0</v>
      </c>
      <c r="C11" s="39">
        <v>0</v>
      </c>
      <c r="D11" s="39">
        <v>0</v>
      </c>
      <c r="E11" s="40">
        <f t="shared" si="0"/>
        <v>0</v>
      </c>
      <c r="F11" s="19"/>
    </row>
    <row r="12" spans="1:8" ht="15" customHeight="1" x14ac:dyDescent="0.2">
      <c r="A12" s="38">
        <f>DATE('Grunddaten &amp; Hinweise'!$B$5,1,6)</f>
        <v>45297</v>
      </c>
      <c r="B12" s="39">
        <v>0</v>
      </c>
      <c r="C12" s="39">
        <v>0</v>
      </c>
      <c r="D12" s="39">
        <v>0</v>
      </c>
      <c r="E12" s="40">
        <f t="shared" si="0"/>
        <v>0</v>
      </c>
      <c r="F12" s="19"/>
    </row>
    <row r="13" spans="1:8" ht="15" customHeight="1" x14ac:dyDescent="0.2">
      <c r="A13" s="38">
        <f>DATE('Grunddaten &amp; Hinweise'!$B$5,1,7)</f>
        <v>45298</v>
      </c>
      <c r="B13" s="39">
        <v>0</v>
      </c>
      <c r="C13" s="39">
        <v>0</v>
      </c>
      <c r="D13" s="39">
        <v>0</v>
      </c>
      <c r="E13" s="40">
        <f t="shared" si="0"/>
        <v>0</v>
      </c>
      <c r="F13" s="19"/>
    </row>
    <row r="14" spans="1:8" ht="15" customHeight="1" x14ac:dyDescent="0.2">
      <c r="A14" s="38">
        <f>DATE('Grunddaten &amp; Hinweise'!$B$5,1,8)</f>
        <v>45299</v>
      </c>
      <c r="B14" s="39">
        <v>0</v>
      </c>
      <c r="C14" s="39">
        <v>0</v>
      </c>
      <c r="D14" s="39">
        <v>0</v>
      </c>
      <c r="E14" s="40">
        <f t="shared" si="0"/>
        <v>0</v>
      </c>
      <c r="F14" s="19"/>
    </row>
    <row r="15" spans="1:8" ht="15" customHeight="1" x14ac:dyDescent="0.2">
      <c r="A15" s="38">
        <f>DATE('Grunddaten &amp; Hinweise'!$B$5,1,9)</f>
        <v>45300</v>
      </c>
      <c r="B15" s="39">
        <v>0</v>
      </c>
      <c r="C15" s="39">
        <v>0</v>
      </c>
      <c r="D15" s="39">
        <v>0</v>
      </c>
      <c r="E15" s="40">
        <f t="shared" si="0"/>
        <v>0</v>
      </c>
      <c r="F15" s="19"/>
    </row>
    <row r="16" spans="1:8" ht="15" customHeight="1" x14ac:dyDescent="0.2">
      <c r="A16" s="38">
        <f>DATE('Grunddaten &amp; Hinweise'!$B$5,1,10)</f>
        <v>45301</v>
      </c>
      <c r="B16" s="39">
        <v>0</v>
      </c>
      <c r="C16" s="39">
        <v>0</v>
      </c>
      <c r="D16" s="39">
        <v>0</v>
      </c>
      <c r="E16" s="40">
        <f t="shared" si="0"/>
        <v>0</v>
      </c>
      <c r="F16" s="19"/>
    </row>
    <row r="17" spans="1:6" ht="15" customHeight="1" x14ac:dyDescent="0.2">
      <c r="A17" s="38">
        <f>DATE('Grunddaten &amp; Hinweise'!$B$5,1,11)</f>
        <v>45302</v>
      </c>
      <c r="B17" s="39">
        <v>0</v>
      </c>
      <c r="C17" s="39">
        <v>0</v>
      </c>
      <c r="D17" s="39">
        <v>0</v>
      </c>
      <c r="E17" s="40">
        <f t="shared" si="0"/>
        <v>0</v>
      </c>
      <c r="F17" s="19"/>
    </row>
    <row r="18" spans="1:6" ht="15" customHeight="1" x14ac:dyDescent="0.2">
      <c r="A18" s="38">
        <f>DATE('Grunddaten &amp; Hinweise'!$B$5,1,12)</f>
        <v>45303</v>
      </c>
      <c r="B18" s="39">
        <v>0</v>
      </c>
      <c r="C18" s="39">
        <v>0</v>
      </c>
      <c r="D18" s="39">
        <v>0</v>
      </c>
      <c r="E18" s="40">
        <f t="shared" si="0"/>
        <v>0</v>
      </c>
      <c r="F18" s="19"/>
    </row>
    <row r="19" spans="1:6" ht="15" customHeight="1" x14ac:dyDescent="0.2">
      <c r="A19" s="38">
        <f>DATE('Grunddaten &amp; Hinweise'!$B$5,1,13)</f>
        <v>45304</v>
      </c>
      <c r="B19" s="39">
        <v>0</v>
      </c>
      <c r="C19" s="39">
        <v>0</v>
      </c>
      <c r="D19" s="39">
        <v>0</v>
      </c>
      <c r="E19" s="40">
        <f t="shared" si="0"/>
        <v>0</v>
      </c>
      <c r="F19" s="19"/>
    </row>
    <row r="20" spans="1:6" ht="15" customHeight="1" x14ac:dyDescent="0.2">
      <c r="A20" s="38">
        <f>DATE('Grunddaten &amp; Hinweise'!$B$5,1,14)</f>
        <v>45305</v>
      </c>
      <c r="B20" s="39">
        <v>0</v>
      </c>
      <c r="C20" s="39">
        <v>0</v>
      </c>
      <c r="D20" s="39">
        <v>0</v>
      </c>
      <c r="E20" s="40">
        <f t="shared" si="0"/>
        <v>0</v>
      </c>
      <c r="F20" s="19"/>
    </row>
    <row r="21" spans="1:6" ht="15" customHeight="1" x14ac:dyDescent="0.2">
      <c r="A21" s="38">
        <f>DATE('Grunddaten &amp; Hinweise'!$B$5,1,15)</f>
        <v>45306</v>
      </c>
      <c r="B21" s="39">
        <v>0</v>
      </c>
      <c r="C21" s="39">
        <v>0</v>
      </c>
      <c r="D21" s="39">
        <v>0</v>
      </c>
      <c r="E21" s="40">
        <f t="shared" si="0"/>
        <v>0</v>
      </c>
      <c r="F21" s="19"/>
    </row>
    <row r="22" spans="1:6" ht="15" customHeight="1" x14ac:dyDescent="0.2">
      <c r="A22" s="38">
        <f>DATE('Grunddaten &amp; Hinweise'!$B$5,1,16)</f>
        <v>45307</v>
      </c>
      <c r="B22" s="39">
        <v>0</v>
      </c>
      <c r="C22" s="39">
        <v>0</v>
      </c>
      <c r="D22" s="39">
        <v>0</v>
      </c>
      <c r="E22" s="40">
        <f t="shared" si="0"/>
        <v>0</v>
      </c>
      <c r="F22" s="19"/>
    </row>
    <row r="23" spans="1:6" ht="15" customHeight="1" x14ac:dyDescent="0.2">
      <c r="A23" s="38">
        <f>DATE('Grunddaten &amp; Hinweise'!$B$5,1,17)</f>
        <v>45308</v>
      </c>
      <c r="B23" s="39">
        <v>0</v>
      </c>
      <c r="C23" s="39">
        <v>0</v>
      </c>
      <c r="D23" s="39">
        <v>0</v>
      </c>
      <c r="E23" s="40">
        <f t="shared" si="0"/>
        <v>0</v>
      </c>
      <c r="F23" s="19"/>
    </row>
    <row r="24" spans="1:6" ht="15" customHeight="1" x14ac:dyDescent="0.2">
      <c r="A24" s="38">
        <f>DATE('Grunddaten &amp; Hinweise'!$B$5,1,18)</f>
        <v>45309</v>
      </c>
      <c r="B24" s="39">
        <v>0</v>
      </c>
      <c r="C24" s="39">
        <v>0</v>
      </c>
      <c r="D24" s="39">
        <v>0</v>
      </c>
      <c r="E24" s="40">
        <f t="shared" si="0"/>
        <v>0</v>
      </c>
      <c r="F24" s="19"/>
    </row>
    <row r="25" spans="1:6" ht="15" customHeight="1" x14ac:dyDescent="0.2">
      <c r="A25" s="38">
        <f>DATE('Grunddaten &amp; Hinweise'!$B$5,1,19)</f>
        <v>45310</v>
      </c>
      <c r="B25" s="39">
        <v>0</v>
      </c>
      <c r="C25" s="39">
        <v>0</v>
      </c>
      <c r="D25" s="39">
        <v>0</v>
      </c>
      <c r="E25" s="40">
        <f t="shared" si="0"/>
        <v>0</v>
      </c>
      <c r="F25" s="19"/>
    </row>
    <row r="26" spans="1:6" ht="15" customHeight="1" x14ac:dyDescent="0.2">
      <c r="A26" s="38">
        <f>DATE('Grunddaten &amp; Hinweise'!$B$5,1,20)</f>
        <v>45311</v>
      </c>
      <c r="B26" s="39">
        <v>0</v>
      </c>
      <c r="C26" s="39">
        <v>0</v>
      </c>
      <c r="D26" s="39">
        <v>0</v>
      </c>
      <c r="E26" s="40">
        <f t="shared" si="0"/>
        <v>0</v>
      </c>
      <c r="F26" s="19"/>
    </row>
    <row r="27" spans="1:6" ht="15" customHeight="1" x14ac:dyDescent="0.2">
      <c r="A27" s="38">
        <f>DATE('Grunddaten &amp; Hinweise'!$B$5,1,21)</f>
        <v>45312</v>
      </c>
      <c r="B27" s="39">
        <v>0</v>
      </c>
      <c r="C27" s="39">
        <v>0</v>
      </c>
      <c r="D27" s="39">
        <v>0</v>
      </c>
      <c r="E27" s="40">
        <f t="shared" si="0"/>
        <v>0</v>
      </c>
      <c r="F27" s="19"/>
    </row>
    <row r="28" spans="1:6" ht="15" customHeight="1" x14ac:dyDescent="0.2">
      <c r="A28" s="38">
        <f>DATE('Grunddaten &amp; Hinweise'!$B$5,1,22)</f>
        <v>45313</v>
      </c>
      <c r="B28" s="39">
        <v>0</v>
      </c>
      <c r="C28" s="39">
        <v>0</v>
      </c>
      <c r="D28" s="39">
        <v>0</v>
      </c>
      <c r="E28" s="40">
        <f t="shared" si="0"/>
        <v>0</v>
      </c>
      <c r="F28" s="19"/>
    </row>
    <row r="29" spans="1:6" ht="15" customHeight="1" x14ac:dyDescent="0.2">
      <c r="A29" s="38">
        <f>DATE('Grunddaten &amp; Hinweise'!$B$5,1,23)</f>
        <v>45314</v>
      </c>
      <c r="B29" s="39">
        <v>0</v>
      </c>
      <c r="C29" s="39">
        <v>0</v>
      </c>
      <c r="D29" s="39">
        <v>0</v>
      </c>
      <c r="E29" s="40">
        <f t="shared" si="0"/>
        <v>0</v>
      </c>
      <c r="F29" s="19"/>
    </row>
    <row r="30" spans="1:6" ht="15" customHeight="1" x14ac:dyDescent="0.2">
      <c r="A30" s="38">
        <f>DATE('Grunddaten &amp; Hinweise'!$B$5,1,24)</f>
        <v>45315</v>
      </c>
      <c r="B30" s="39">
        <v>0</v>
      </c>
      <c r="C30" s="39">
        <v>0</v>
      </c>
      <c r="D30" s="39">
        <v>0</v>
      </c>
      <c r="E30" s="40">
        <f t="shared" si="0"/>
        <v>0</v>
      </c>
      <c r="F30" s="19"/>
    </row>
    <row r="31" spans="1:6" ht="15" customHeight="1" x14ac:dyDescent="0.2">
      <c r="A31" s="38">
        <f>DATE('Grunddaten &amp; Hinweise'!$B$5,1,25)</f>
        <v>45316</v>
      </c>
      <c r="B31" s="39">
        <v>0</v>
      </c>
      <c r="C31" s="39">
        <v>0</v>
      </c>
      <c r="D31" s="39">
        <v>0</v>
      </c>
      <c r="E31" s="40">
        <f t="shared" si="0"/>
        <v>0</v>
      </c>
      <c r="F31" s="19"/>
    </row>
    <row r="32" spans="1:6" ht="15" customHeight="1" x14ac:dyDescent="0.2">
      <c r="A32" s="38">
        <f>DATE('Grunddaten &amp; Hinweise'!$B$5,1,26)</f>
        <v>45317</v>
      </c>
      <c r="B32" s="39">
        <v>0</v>
      </c>
      <c r="C32" s="39">
        <v>0</v>
      </c>
      <c r="D32" s="39">
        <v>0</v>
      </c>
      <c r="E32" s="40">
        <f t="shared" si="0"/>
        <v>0</v>
      </c>
      <c r="F32" s="19"/>
    </row>
    <row r="33" spans="1:6" ht="15" customHeight="1" x14ac:dyDescent="0.2">
      <c r="A33" s="38">
        <f>DATE('Grunddaten &amp; Hinweise'!$B$5,1,27)</f>
        <v>45318</v>
      </c>
      <c r="B33" s="39">
        <v>0</v>
      </c>
      <c r="C33" s="39">
        <v>0</v>
      </c>
      <c r="D33" s="39">
        <v>0</v>
      </c>
      <c r="E33" s="40">
        <f t="shared" si="0"/>
        <v>0</v>
      </c>
      <c r="F33" s="19"/>
    </row>
    <row r="34" spans="1:6" ht="15" customHeight="1" x14ac:dyDescent="0.2">
      <c r="A34" s="38">
        <f>DATE('Grunddaten &amp; Hinweise'!$B$5,1,28)</f>
        <v>45319</v>
      </c>
      <c r="B34" s="39">
        <v>0</v>
      </c>
      <c r="C34" s="39">
        <v>0</v>
      </c>
      <c r="D34" s="39">
        <v>0</v>
      </c>
      <c r="E34" s="40">
        <f t="shared" si="0"/>
        <v>0</v>
      </c>
      <c r="F34" s="19"/>
    </row>
    <row r="35" spans="1:6" ht="15" customHeight="1" x14ac:dyDescent="0.2">
      <c r="A35" s="38">
        <f>DATE('Grunddaten &amp; Hinweise'!$B$5,1,29)</f>
        <v>45320</v>
      </c>
      <c r="B35" s="39">
        <v>0</v>
      </c>
      <c r="C35" s="39">
        <v>0</v>
      </c>
      <c r="D35" s="39">
        <v>0</v>
      </c>
      <c r="E35" s="40">
        <f t="shared" si="0"/>
        <v>0</v>
      </c>
      <c r="F35" s="19"/>
    </row>
    <row r="36" spans="1:6" ht="15" customHeight="1" x14ac:dyDescent="0.2">
      <c r="A36" s="38">
        <f>DATE('Grunddaten &amp; Hinweise'!$B$5,1,30)</f>
        <v>45321</v>
      </c>
      <c r="B36" s="39">
        <v>0</v>
      </c>
      <c r="C36" s="39">
        <v>0</v>
      </c>
      <c r="D36" s="39">
        <v>0</v>
      </c>
      <c r="E36" s="40">
        <f t="shared" si="0"/>
        <v>0</v>
      </c>
      <c r="F36" s="19"/>
    </row>
    <row r="37" spans="1:6" ht="15" customHeight="1" x14ac:dyDescent="0.2">
      <c r="A37" s="42">
        <f>DATE('Grunddaten &amp; Hinweise'!$B$5,1,31)</f>
        <v>45322</v>
      </c>
      <c r="B37" s="43">
        <v>0</v>
      </c>
      <c r="C37" s="43">
        <v>0</v>
      </c>
      <c r="D37" s="43">
        <v>0</v>
      </c>
      <c r="E37" s="44">
        <f t="shared" si="0"/>
        <v>0</v>
      </c>
      <c r="F37" s="45"/>
    </row>
    <row r="38" spans="1:6" ht="15" customHeight="1" x14ac:dyDescent="0.2">
      <c r="A38" s="38"/>
      <c r="B38" s="46"/>
      <c r="C38" s="46"/>
      <c r="D38" s="46"/>
      <c r="E38" s="47">
        <f>SUM(E7:E37)</f>
        <v>0</v>
      </c>
    </row>
    <row r="39" spans="1:6" ht="15" customHeight="1" thickBot="1" x14ac:dyDescent="0.25"/>
    <row r="40" spans="1:6" ht="15" customHeight="1" thickBot="1" x14ac:dyDescent="0.25">
      <c r="D40" s="48" t="s">
        <v>22</v>
      </c>
      <c r="E40" s="49">
        <f>SUM(E7:E37)*24</f>
        <v>0</v>
      </c>
      <c r="F40" s="2" t="s">
        <v>21</v>
      </c>
    </row>
    <row r="41" spans="1:6" ht="15" customHeight="1" thickBot="1" x14ac:dyDescent="0.25">
      <c r="D41" s="48" t="s">
        <v>23</v>
      </c>
      <c r="E41" s="49">
        <f>'Grunddaten &amp; Hinweise'!B8</f>
        <v>0</v>
      </c>
      <c r="F41" s="2" t="s">
        <v>21</v>
      </c>
    </row>
    <row r="42" spans="1:6" ht="15" customHeight="1" thickBot="1" x14ac:dyDescent="0.3">
      <c r="D42" s="53" t="s">
        <v>86</v>
      </c>
      <c r="E42" s="51">
        <f>E40-E41</f>
        <v>0</v>
      </c>
      <c r="F42" s="2" t="s">
        <v>21</v>
      </c>
    </row>
    <row r="43" spans="1:6" ht="15" customHeight="1" x14ac:dyDescent="0.2"/>
    <row r="44" spans="1:6" ht="15" customHeight="1" x14ac:dyDescent="0.2"/>
    <row r="45" spans="1:6" ht="15" customHeight="1" x14ac:dyDescent="0.2">
      <c r="A45" s="4" t="s">
        <v>60</v>
      </c>
      <c r="B45" s="13"/>
      <c r="C45" s="13"/>
      <c r="D45" s="13"/>
    </row>
    <row r="46" spans="1:6" ht="15" customHeight="1" x14ac:dyDescent="0.2"/>
    <row r="47" spans="1:6" ht="15" customHeight="1" x14ac:dyDescent="0.2"/>
    <row r="48" spans="1:6" ht="15" customHeight="1" x14ac:dyDescent="0.2"/>
    <row r="49" s="2" customFormat="1" ht="15" customHeight="1" x14ac:dyDescent="0.2"/>
    <row r="50" s="2" customFormat="1" ht="15" customHeight="1" x14ac:dyDescent="0.2"/>
    <row r="51" s="2" customFormat="1" ht="15" customHeight="1" x14ac:dyDescent="0.2"/>
    <row r="52" s="2" customFormat="1" ht="15" customHeight="1" x14ac:dyDescent="0.2"/>
    <row r="53" s="2" customFormat="1" ht="15" customHeight="1" x14ac:dyDescent="0.2"/>
    <row r="54" s="2" customFormat="1" ht="15" customHeight="1" x14ac:dyDescent="0.2"/>
    <row r="55" s="2" customFormat="1" ht="15" customHeight="1" x14ac:dyDescent="0.2"/>
  </sheetData>
  <mergeCells count="4">
    <mergeCell ref="B1:E1"/>
    <mergeCell ref="B2:E2"/>
    <mergeCell ref="B3:E3"/>
    <mergeCell ref="B4:E4"/>
  </mergeCells>
  <conditionalFormatting sqref="A7:A38">
    <cfRule type="timePeriod" dxfId="82" priority="3" timePeriod="today">
      <formula>FLOOR(A7,1)=TODAY()</formula>
    </cfRule>
    <cfRule type="expression" dxfId="81" priority="10">
      <formula>OR(WEEKDAY(A7,1)=7,WEEKDAY(A7,1)=1)</formula>
    </cfRule>
  </conditionalFormatting>
  <conditionalFormatting sqref="B7:E38">
    <cfRule type="cellIs" dxfId="80" priority="1" operator="equal">
      <formula>0</formula>
    </cfRule>
  </conditionalFormatting>
  <pageMargins left="0.70866141732283472" right="0.70866141732283472" top="1.2204724409448819" bottom="0.78740157480314965" header="0.6692913385826772" footer="0.31496062992125984"/>
  <pageSetup paperSize="9" orientation="portrait" horizontalDpi="4294967294" r:id="rId1"/>
  <headerFooter>
    <oddHeader>&amp;LStundennachweis über die geleistete Monatsarbeitszeit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3" tint="0.59999389629810485"/>
  </sheetPr>
  <dimension ref="A1:H49"/>
  <sheetViews>
    <sheetView workbookViewId="0">
      <selection activeCell="D42" sqref="D42"/>
    </sheetView>
  </sheetViews>
  <sheetFormatPr baseColWidth="10" defaultColWidth="11.42578125" defaultRowHeight="14.25" x14ac:dyDescent="0.2"/>
  <cols>
    <col min="1" max="1" width="23.5703125" style="2" bestFit="1" customWidth="1"/>
    <col min="2" max="2" width="11.42578125" style="2" customWidth="1"/>
    <col min="3" max="5" width="11.5703125" style="2" bestFit="1" customWidth="1"/>
    <col min="6" max="6" width="19.28515625" style="2" customWidth="1"/>
    <col min="7" max="7" width="4" style="2" customWidth="1"/>
    <col min="8" max="16384" width="11.42578125" style="2"/>
  </cols>
  <sheetData>
    <row r="1" spans="1:8" ht="15" customHeight="1" x14ac:dyDescent="0.25">
      <c r="A1" s="1" t="s">
        <v>2</v>
      </c>
      <c r="B1" s="104" t="str">
        <f>'Grunddaten &amp; Hinweise'!B1</f>
        <v>Max Mustermann</v>
      </c>
      <c r="C1" s="104"/>
      <c r="D1" s="104"/>
      <c r="E1" s="104"/>
      <c r="H1" s="8"/>
    </row>
    <row r="2" spans="1:8" ht="30.2" customHeight="1" x14ac:dyDescent="0.2">
      <c r="A2" s="3" t="s">
        <v>5</v>
      </c>
      <c r="B2" s="101" t="str">
        <f>'Grunddaten &amp; Hinweise'!B2</f>
        <v>Musterinstitut</v>
      </c>
      <c r="C2" s="101"/>
      <c r="D2" s="101"/>
      <c r="E2" s="101"/>
    </row>
    <row r="3" spans="1:8" ht="15" customHeight="1" x14ac:dyDescent="0.2">
      <c r="A3" s="3" t="s">
        <v>6</v>
      </c>
      <c r="B3" s="102" t="str">
        <f>'Grunddaten &amp; Hinweise'!B3</f>
        <v>Max Mustermann</v>
      </c>
      <c r="C3" s="102"/>
      <c r="D3" s="102"/>
      <c r="E3" s="102"/>
      <c r="H3" s="34"/>
    </row>
    <row r="4" spans="1:8" ht="15" customHeight="1" x14ac:dyDescent="0.2">
      <c r="A4" s="3" t="s">
        <v>29</v>
      </c>
      <c r="B4" s="103" t="str">
        <f>'Grunddaten &amp; Hinweise'!B4</f>
        <v>Studentische Hilfskraft</v>
      </c>
      <c r="C4" s="103"/>
      <c r="D4" s="103"/>
      <c r="E4" s="103"/>
    </row>
    <row r="5" spans="1:8" ht="15" customHeight="1" x14ac:dyDescent="0.25">
      <c r="E5" s="35" t="s">
        <v>64</v>
      </c>
    </row>
    <row r="6" spans="1:8" ht="15" customHeight="1" x14ac:dyDescent="0.25">
      <c r="A6" s="24" t="s">
        <v>0</v>
      </c>
      <c r="B6" s="24" t="s">
        <v>58</v>
      </c>
      <c r="C6" s="24" t="s">
        <v>59</v>
      </c>
      <c r="D6" s="24" t="s">
        <v>1</v>
      </c>
      <c r="E6" s="6" t="s">
        <v>65</v>
      </c>
      <c r="F6" s="50" t="s">
        <v>26</v>
      </c>
    </row>
    <row r="7" spans="1:8" ht="15" customHeight="1" x14ac:dyDescent="0.2">
      <c r="A7" s="38">
        <f>DATE('Grunddaten &amp; Hinweise'!$B$5,2,1)</f>
        <v>45323</v>
      </c>
      <c r="B7" s="39">
        <v>0</v>
      </c>
      <c r="C7" s="39">
        <v>0</v>
      </c>
      <c r="D7" s="39">
        <v>0</v>
      </c>
      <c r="E7" s="40">
        <f>C7-B7-D7</f>
        <v>0</v>
      </c>
      <c r="F7" s="19"/>
    </row>
    <row r="8" spans="1:8" ht="15" customHeight="1" x14ac:dyDescent="0.25">
      <c r="A8" s="38">
        <f>DATE('Grunddaten &amp; Hinweise'!$B$5,2,2)</f>
        <v>45324</v>
      </c>
      <c r="B8" s="39">
        <v>0</v>
      </c>
      <c r="C8" s="39">
        <v>0</v>
      </c>
      <c r="D8" s="39">
        <v>0</v>
      </c>
      <c r="E8" s="40">
        <f>C8-B8-D8</f>
        <v>0</v>
      </c>
      <c r="F8" s="19"/>
      <c r="G8" s="41"/>
    </row>
    <row r="9" spans="1:8" ht="15" customHeight="1" x14ac:dyDescent="0.2">
      <c r="A9" s="38">
        <f>DATE('Grunddaten &amp; Hinweise'!$B$5,2,3)</f>
        <v>45325</v>
      </c>
      <c r="B9" s="39">
        <v>0</v>
      </c>
      <c r="C9" s="39">
        <v>0</v>
      </c>
      <c r="D9" s="39">
        <v>0</v>
      </c>
      <c r="E9" s="40">
        <f t="shared" ref="E9:E35" si="0">C9-B9-D9</f>
        <v>0</v>
      </c>
      <c r="F9" s="19"/>
    </row>
    <row r="10" spans="1:8" ht="15" customHeight="1" x14ac:dyDescent="0.2">
      <c r="A10" s="38">
        <f>DATE('Grunddaten &amp; Hinweise'!$B$5,2,4)</f>
        <v>45326</v>
      </c>
      <c r="B10" s="39">
        <v>0</v>
      </c>
      <c r="C10" s="39">
        <v>0</v>
      </c>
      <c r="D10" s="39">
        <v>0</v>
      </c>
      <c r="E10" s="40">
        <f t="shared" si="0"/>
        <v>0</v>
      </c>
      <c r="F10" s="19"/>
    </row>
    <row r="11" spans="1:8" ht="15" customHeight="1" x14ac:dyDescent="0.2">
      <c r="A11" s="38">
        <f>DATE('Grunddaten &amp; Hinweise'!$B$5,2,5)</f>
        <v>45327</v>
      </c>
      <c r="B11" s="39">
        <v>0</v>
      </c>
      <c r="C11" s="39">
        <v>0</v>
      </c>
      <c r="D11" s="39">
        <v>0</v>
      </c>
      <c r="E11" s="40">
        <f t="shared" si="0"/>
        <v>0</v>
      </c>
      <c r="F11" s="19"/>
    </row>
    <row r="12" spans="1:8" ht="15" customHeight="1" x14ac:dyDescent="0.2">
      <c r="A12" s="38">
        <f>DATE('Grunddaten &amp; Hinweise'!$B$5,2,6)</f>
        <v>45328</v>
      </c>
      <c r="B12" s="39">
        <v>0</v>
      </c>
      <c r="C12" s="39">
        <v>0</v>
      </c>
      <c r="D12" s="39">
        <v>0</v>
      </c>
      <c r="E12" s="40">
        <f t="shared" si="0"/>
        <v>0</v>
      </c>
      <c r="F12" s="19"/>
    </row>
    <row r="13" spans="1:8" ht="15" customHeight="1" x14ac:dyDescent="0.2">
      <c r="A13" s="38">
        <f>DATE('Grunddaten &amp; Hinweise'!$B$5,2,7)</f>
        <v>45329</v>
      </c>
      <c r="B13" s="39">
        <v>0</v>
      </c>
      <c r="C13" s="39">
        <v>0</v>
      </c>
      <c r="D13" s="39">
        <v>0</v>
      </c>
      <c r="E13" s="40">
        <f t="shared" si="0"/>
        <v>0</v>
      </c>
      <c r="F13" s="19"/>
    </row>
    <row r="14" spans="1:8" ht="15" customHeight="1" x14ac:dyDescent="0.2">
      <c r="A14" s="38">
        <f>DATE('Grunddaten &amp; Hinweise'!$B$5,2,8)</f>
        <v>45330</v>
      </c>
      <c r="B14" s="39">
        <v>0</v>
      </c>
      <c r="C14" s="39">
        <v>0</v>
      </c>
      <c r="D14" s="39">
        <v>0</v>
      </c>
      <c r="E14" s="40">
        <f t="shared" si="0"/>
        <v>0</v>
      </c>
      <c r="F14" s="19"/>
    </row>
    <row r="15" spans="1:8" ht="15" customHeight="1" x14ac:dyDescent="0.2">
      <c r="A15" s="38">
        <f>DATE('Grunddaten &amp; Hinweise'!$B$5,2,9)</f>
        <v>45331</v>
      </c>
      <c r="B15" s="39">
        <v>0</v>
      </c>
      <c r="C15" s="39">
        <v>0</v>
      </c>
      <c r="D15" s="39">
        <v>0</v>
      </c>
      <c r="E15" s="40">
        <f t="shared" si="0"/>
        <v>0</v>
      </c>
      <c r="F15" s="19"/>
    </row>
    <row r="16" spans="1:8" ht="15" customHeight="1" x14ac:dyDescent="0.2">
      <c r="A16" s="38">
        <f>DATE('Grunddaten &amp; Hinweise'!$B$5,2,10)</f>
        <v>45332</v>
      </c>
      <c r="B16" s="39">
        <v>0</v>
      </c>
      <c r="C16" s="39">
        <v>0</v>
      </c>
      <c r="D16" s="39">
        <v>0</v>
      </c>
      <c r="E16" s="40">
        <f t="shared" si="0"/>
        <v>0</v>
      </c>
      <c r="F16" s="19"/>
    </row>
    <row r="17" spans="1:6" ht="15" customHeight="1" x14ac:dyDescent="0.2">
      <c r="A17" s="38">
        <f>DATE('Grunddaten &amp; Hinweise'!$B$5,2,11)</f>
        <v>45333</v>
      </c>
      <c r="B17" s="39">
        <v>0</v>
      </c>
      <c r="C17" s="39">
        <v>0</v>
      </c>
      <c r="D17" s="39">
        <v>0</v>
      </c>
      <c r="E17" s="40">
        <f t="shared" si="0"/>
        <v>0</v>
      </c>
      <c r="F17" s="19"/>
    </row>
    <row r="18" spans="1:6" ht="15" customHeight="1" x14ac:dyDescent="0.2">
      <c r="A18" s="38">
        <f>DATE('Grunddaten &amp; Hinweise'!$B$5,2,12)</f>
        <v>45334</v>
      </c>
      <c r="B18" s="39">
        <v>0</v>
      </c>
      <c r="C18" s="39">
        <v>0</v>
      </c>
      <c r="D18" s="39">
        <v>0</v>
      </c>
      <c r="E18" s="40">
        <f t="shared" si="0"/>
        <v>0</v>
      </c>
      <c r="F18" s="19"/>
    </row>
    <row r="19" spans="1:6" ht="15" customHeight="1" x14ac:dyDescent="0.2">
      <c r="A19" s="38">
        <f>DATE('Grunddaten &amp; Hinweise'!$B$5,2,13)</f>
        <v>45335</v>
      </c>
      <c r="B19" s="39">
        <v>0</v>
      </c>
      <c r="C19" s="39">
        <v>0</v>
      </c>
      <c r="D19" s="39">
        <v>0</v>
      </c>
      <c r="E19" s="40">
        <f t="shared" si="0"/>
        <v>0</v>
      </c>
      <c r="F19" s="19"/>
    </row>
    <row r="20" spans="1:6" ht="15" customHeight="1" x14ac:dyDescent="0.2">
      <c r="A20" s="38">
        <f>DATE('Grunddaten &amp; Hinweise'!$B$5,2,14)</f>
        <v>45336</v>
      </c>
      <c r="B20" s="39">
        <v>0</v>
      </c>
      <c r="C20" s="39">
        <v>0</v>
      </c>
      <c r="D20" s="39">
        <v>0</v>
      </c>
      <c r="E20" s="40">
        <f t="shared" si="0"/>
        <v>0</v>
      </c>
      <c r="F20" s="19"/>
    </row>
    <row r="21" spans="1:6" ht="15" customHeight="1" x14ac:dyDescent="0.2">
      <c r="A21" s="38">
        <f>DATE('Grunddaten &amp; Hinweise'!$B$5,2,15)</f>
        <v>45337</v>
      </c>
      <c r="B21" s="39">
        <v>0</v>
      </c>
      <c r="C21" s="39">
        <v>0</v>
      </c>
      <c r="D21" s="39">
        <v>0</v>
      </c>
      <c r="E21" s="40">
        <f t="shared" si="0"/>
        <v>0</v>
      </c>
      <c r="F21" s="19"/>
    </row>
    <row r="22" spans="1:6" ht="15" customHeight="1" x14ac:dyDescent="0.2">
      <c r="A22" s="38">
        <f>DATE('Grunddaten &amp; Hinweise'!$B$5,2,16)</f>
        <v>45338</v>
      </c>
      <c r="B22" s="39">
        <v>0</v>
      </c>
      <c r="C22" s="39">
        <v>0</v>
      </c>
      <c r="D22" s="39">
        <v>0</v>
      </c>
      <c r="E22" s="40">
        <f t="shared" si="0"/>
        <v>0</v>
      </c>
      <c r="F22" s="19"/>
    </row>
    <row r="23" spans="1:6" ht="15" customHeight="1" x14ac:dyDescent="0.2">
      <c r="A23" s="38">
        <f>DATE('Grunddaten &amp; Hinweise'!$B$5,2,17)</f>
        <v>45339</v>
      </c>
      <c r="B23" s="39">
        <v>0</v>
      </c>
      <c r="C23" s="39">
        <v>0</v>
      </c>
      <c r="D23" s="39">
        <v>0</v>
      </c>
      <c r="E23" s="40">
        <f t="shared" si="0"/>
        <v>0</v>
      </c>
      <c r="F23" s="19"/>
    </row>
    <row r="24" spans="1:6" ht="15" customHeight="1" x14ac:dyDescent="0.2">
      <c r="A24" s="38">
        <f>DATE('Grunddaten &amp; Hinweise'!$B$5,2,18)</f>
        <v>45340</v>
      </c>
      <c r="B24" s="39">
        <v>0</v>
      </c>
      <c r="C24" s="39">
        <v>0</v>
      </c>
      <c r="D24" s="39">
        <v>0</v>
      </c>
      <c r="E24" s="40">
        <f t="shared" si="0"/>
        <v>0</v>
      </c>
      <c r="F24" s="19"/>
    </row>
    <row r="25" spans="1:6" ht="15" customHeight="1" x14ac:dyDescent="0.2">
      <c r="A25" s="38">
        <f>DATE('Grunddaten &amp; Hinweise'!$B$5,2,19)</f>
        <v>45341</v>
      </c>
      <c r="B25" s="39">
        <v>0</v>
      </c>
      <c r="C25" s="39">
        <v>0</v>
      </c>
      <c r="D25" s="39">
        <v>0</v>
      </c>
      <c r="E25" s="40">
        <f t="shared" si="0"/>
        <v>0</v>
      </c>
      <c r="F25" s="19"/>
    </row>
    <row r="26" spans="1:6" ht="15" customHeight="1" x14ac:dyDescent="0.2">
      <c r="A26" s="38">
        <f>DATE('Grunddaten &amp; Hinweise'!$B$5,2,20)</f>
        <v>45342</v>
      </c>
      <c r="B26" s="39">
        <v>0</v>
      </c>
      <c r="C26" s="39">
        <v>0</v>
      </c>
      <c r="D26" s="39">
        <v>0</v>
      </c>
      <c r="E26" s="40">
        <f t="shared" si="0"/>
        <v>0</v>
      </c>
      <c r="F26" s="19"/>
    </row>
    <row r="27" spans="1:6" ht="15" customHeight="1" x14ac:dyDescent="0.2">
      <c r="A27" s="38">
        <f>DATE('Grunddaten &amp; Hinweise'!$B$5,2,21)</f>
        <v>45343</v>
      </c>
      <c r="B27" s="39">
        <v>0</v>
      </c>
      <c r="C27" s="39">
        <v>0</v>
      </c>
      <c r="D27" s="39">
        <v>0</v>
      </c>
      <c r="E27" s="40">
        <f t="shared" si="0"/>
        <v>0</v>
      </c>
      <c r="F27" s="19"/>
    </row>
    <row r="28" spans="1:6" ht="15" customHeight="1" x14ac:dyDescent="0.2">
      <c r="A28" s="38">
        <f>DATE('Grunddaten &amp; Hinweise'!$B$5,2,22)</f>
        <v>45344</v>
      </c>
      <c r="B28" s="39">
        <v>0</v>
      </c>
      <c r="C28" s="39">
        <v>0</v>
      </c>
      <c r="D28" s="39">
        <v>0</v>
      </c>
      <c r="E28" s="40">
        <f t="shared" si="0"/>
        <v>0</v>
      </c>
      <c r="F28" s="19"/>
    </row>
    <row r="29" spans="1:6" ht="15" customHeight="1" x14ac:dyDescent="0.2">
      <c r="A29" s="38">
        <f>DATE('Grunddaten &amp; Hinweise'!$B$5,2,23)</f>
        <v>45345</v>
      </c>
      <c r="B29" s="39">
        <v>0</v>
      </c>
      <c r="C29" s="39">
        <v>0</v>
      </c>
      <c r="D29" s="39">
        <v>0</v>
      </c>
      <c r="E29" s="40">
        <f t="shared" si="0"/>
        <v>0</v>
      </c>
      <c r="F29" s="19"/>
    </row>
    <row r="30" spans="1:6" ht="15" customHeight="1" x14ac:dyDescent="0.2">
      <c r="A30" s="38">
        <f>DATE('Grunddaten &amp; Hinweise'!$B$5,2,24)</f>
        <v>45346</v>
      </c>
      <c r="B30" s="39">
        <v>0</v>
      </c>
      <c r="C30" s="39">
        <v>0</v>
      </c>
      <c r="D30" s="39">
        <v>0</v>
      </c>
      <c r="E30" s="40">
        <f t="shared" si="0"/>
        <v>0</v>
      </c>
      <c r="F30" s="19"/>
    </row>
    <row r="31" spans="1:6" ht="15" customHeight="1" x14ac:dyDescent="0.2">
      <c r="A31" s="38">
        <f>DATE('Grunddaten &amp; Hinweise'!$B$5,2,25)</f>
        <v>45347</v>
      </c>
      <c r="B31" s="39">
        <v>0</v>
      </c>
      <c r="C31" s="39">
        <v>0</v>
      </c>
      <c r="D31" s="39">
        <v>0</v>
      </c>
      <c r="E31" s="40">
        <f t="shared" si="0"/>
        <v>0</v>
      </c>
      <c r="F31" s="19"/>
    </row>
    <row r="32" spans="1:6" ht="15" customHeight="1" x14ac:dyDescent="0.2">
      <c r="A32" s="38">
        <f>DATE('Grunddaten &amp; Hinweise'!$B$5,2,26)</f>
        <v>45348</v>
      </c>
      <c r="B32" s="39">
        <v>0</v>
      </c>
      <c r="C32" s="39">
        <v>0</v>
      </c>
      <c r="D32" s="39">
        <v>0</v>
      </c>
      <c r="E32" s="40">
        <f t="shared" si="0"/>
        <v>0</v>
      </c>
      <c r="F32" s="19"/>
    </row>
    <row r="33" spans="1:6" ht="15" customHeight="1" x14ac:dyDescent="0.2">
      <c r="A33" s="38">
        <f>DATE('Grunddaten &amp; Hinweise'!$B$5,2,27)</f>
        <v>45349</v>
      </c>
      <c r="B33" s="39">
        <v>0</v>
      </c>
      <c r="C33" s="39">
        <v>0</v>
      </c>
      <c r="D33" s="39">
        <v>0</v>
      </c>
      <c r="E33" s="40">
        <f t="shared" si="0"/>
        <v>0</v>
      </c>
      <c r="F33" s="19"/>
    </row>
    <row r="34" spans="1:6" ht="15" customHeight="1" x14ac:dyDescent="0.2">
      <c r="A34" s="38">
        <f>DATE('Grunddaten &amp; Hinweise'!$B$5,2,28)</f>
        <v>45350</v>
      </c>
      <c r="B34" s="39">
        <v>0</v>
      </c>
      <c r="C34" s="39">
        <v>0</v>
      </c>
      <c r="D34" s="39">
        <v>0</v>
      </c>
      <c r="E34" s="40">
        <f t="shared" si="0"/>
        <v>0</v>
      </c>
      <c r="F34" s="19"/>
    </row>
    <row r="35" spans="1:6" ht="15" customHeight="1" x14ac:dyDescent="0.2">
      <c r="A35" s="42">
        <f>IF((MOD('Grunddaten &amp; Hinweise'!B5,4)=0)-(MOD('Grunddaten &amp; Hinweise'!B5,100)=0)+(MOD('Grunddaten &amp; Hinweise'!B5,400)=0)=0," ",DATE('Grunddaten &amp; Hinweise'!B5,2,29))</f>
        <v>45351</v>
      </c>
      <c r="B35" s="43">
        <v>0</v>
      </c>
      <c r="C35" s="43">
        <v>0</v>
      </c>
      <c r="D35" s="43">
        <v>0</v>
      </c>
      <c r="E35" s="44">
        <f t="shared" si="0"/>
        <v>0</v>
      </c>
      <c r="F35" s="52"/>
    </row>
    <row r="36" spans="1:6" ht="15" customHeight="1" x14ac:dyDescent="0.2">
      <c r="A36" s="38"/>
      <c r="E36" s="47">
        <f>SUM(E7:E35)</f>
        <v>0</v>
      </c>
    </row>
    <row r="37" spans="1:6" ht="15" customHeight="1" x14ac:dyDescent="0.2">
      <c r="A37" s="38"/>
      <c r="E37" s="47"/>
    </row>
    <row r="38" spans="1:6" ht="15" customHeight="1" x14ac:dyDescent="0.2">
      <c r="A38" s="38"/>
      <c r="B38" s="10"/>
    </row>
    <row r="39" spans="1:6" ht="15" customHeight="1" thickBot="1" x14ac:dyDescent="0.25"/>
    <row r="40" spans="1:6" ht="15" customHeight="1" thickBot="1" x14ac:dyDescent="0.25">
      <c r="C40" s="4"/>
      <c r="D40" s="48" t="s">
        <v>22</v>
      </c>
      <c r="E40" s="49">
        <f>SUM(E7:E35)*24</f>
        <v>0</v>
      </c>
      <c r="F40" s="2" t="s">
        <v>21</v>
      </c>
    </row>
    <row r="41" spans="1:6" ht="15" customHeight="1" thickBot="1" x14ac:dyDescent="0.25">
      <c r="C41" s="4"/>
      <c r="D41" s="48" t="s">
        <v>23</v>
      </c>
      <c r="E41" s="49">
        <f>'Grunddaten &amp; Hinweise'!B9</f>
        <v>0</v>
      </c>
      <c r="F41" s="2" t="s">
        <v>21</v>
      </c>
    </row>
    <row r="42" spans="1:6" ht="15" customHeight="1" thickBot="1" x14ac:dyDescent="0.3">
      <c r="C42" s="4"/>
      <c r="D42" s="53" t="s">
        <v>86</v>
      </c>
      <c r="E42" s="51">
        <f>E40-E41</f>
        <v>0</v>
      </c>
      <c r="F42" s="2" t="s">
        <v>21</v>
      </c>
    </row>
    <row r="43" spans="1:6" ht="15" customHeight="1" x14ac:dyDescent="0.2"/>
    <row r="44" spans="1:6" ht="15" customHeight="1" x14ac:dyDescent="0.2"/>
    <row r="45" spans="1:6" ht="15" customHeight="1" x14ac:dyDescent="0.2">
      <c r="A45" s="4" t="s">
        <v>60</v>
      </c>
      <c r="B45" s="13"/>
      <c r="C45" s="13"/>
      <c r="D45" s="13"/>
    </row>
    <row r="46" spans="1:6" ht="15" customHeight="1" x14ac:dyDescent="0.2"/>
    <row r="47" spans="1:6" ht="15" customHeight="1" x14ac:dyDescent="0.2"/>
    <row r="48" spans="1:6" ht="15" customHeight="1" x14ac:dyDescent="0.2"/>
    <row r="49" s="2" customFormat="1" ht="15" customHeight="1" x14ac:dyDescent="0.2"/>
  </sheetData>
  <mergeCells count="4">
    <mergeCell ref="B1:E1"/>
    <mergeCell ref="B2:E2"/>
    <mergeCell ref="B3:E3"/>
    <mergeCell ref="B4:E4"/>
  </mergeCells>
  <conditionalFormatting sqref="A36:A37">
    <cfRule type="expression" dxfId="79" priority="23">
      <formula>OR(WEEKDAY(A35,1)=6,WEEKDAY(A35,1)=7)</formula>
    </cfRule>
  </conditionalFormatting>
  <conditionalFormatting sqref="B7:E34 B35">
    <cfRule type="cellIs" dxfId="78" priority="20" operator="equal">
      <formula>0</formula>
    </cfRule>
  </conditionalFormatting>
  <conditionalFormatting sqref="A7:A34">
    <cfRule type="timePeriod" dxfId="77" priority="17" timePeriod="today">
      <formula>FLOOR(A7,1)=TODAY()</formula>
    </cfRule>
    <cfRule type="expression" dxfId="76" priority="18">
      <formula>OR(WEEKDAY(A7,1)=7,WEEKDAY(A7,1)=1)</formula>
    </cfRule>
  </conditionalFormatting>
  <conditionalFormatting sqref="E36:E37">
    <cfRule type="cellIs" dxfId="75" priority="16" operator="equal">
      <formula>0</formula>
    </cfRule>
  </conditionalFormatting>
  <conditionalFormatting sqref="A35">
    <cfRule type="timePeriod" dxfId="74" priority="11" timePeriod="today">
      <formula>FLOOR(A35,1)=TODAY()</formula>
    </cfRule>
    <cfRule type="expression" dxfId="73" priority="12">
      <formula>OR(WEEKDAY(A35,1)=7,WEEKDAY(A35,1)=1)</formula>
    </cfRule>
  </conditionalFormatting>
  <conditionalFormatting sqref="C35">
    <cfRule type="cellIs" dxfId="72" priority="4" operator="equal">
      <formula>0</formula>
    </cfRule>
  </conditionalFormatting>
  <conditionalFormatting sqref="D35">
    <cfRule type="cellIs" dxfId="71" priority="3" operator="equal">
      <formula>0</formula>
    </cfRule>
  </conditionalFormatting>
  <conditionalFormatting sqref="E35">
    <cfRule type="cellIs" dxfId="70" priority="2" operator="equal">
      <formula>0</formula>
    </cfRule>
  </conditionalFormatting>
  <conditionalFormatting sqref="A38">
    <cfRule type="expression" dxfId="69" priority="25">
      <formula>OR(WEEKDAY(A36,1)=6,WEEKDAY(A36,1)=7)</formula>
    </cfRule>
  </conditionalFormatting>
  <pageMargins left="0.70866141732283472" right="0.70866141732283472" top="1.2204724409448819" bottom="0.78740157480314965" header="0.6692913385826772" footer="0.31496062992125984"/>
  <pageSetup paperSize="9" orientation="portrait" horizontalDpi="4294967294" r:id="rId1"/>
  <headerFooter>
    <oddHeader>&amp;LStundennachweis über die geleistete Monatsarbeitszeit</oddHeader>
  </headerFooter>
  <extLst>
    <ext xmlns:x14="http://schemas.microsoft.com/office/spreadsheetml/2009/9/main" uri="{78C0D931-6437-407d-A8EE-F0AAD7539E65}">
      <x14:conditionalFormattings>
        <x14:conditionalFormatting xmlns:xm="http://schemas.microsoft.com/office/excel/2006/main">
          <x14:cfRule type="expression" priority="1" id="{AB150845-347C-44A1-BC56-59E648E3E818}">
            <xm:f>(MOD('Grunddaten &amp; Hinweise'!$B$5,4)=0)-(MOD('Grunddaten &amp; Hinweise'!$B$5,100)=0)+(MOD('Grunddaten &amp; Hinweise'!$B$5,400)=0)=0</xm:f>
            <x14:dxf>
              <font>
                <color theme="0"/>
              </font>
            </x14:dxf>
          </x14:cfRule>
          <xm:sqref>B35:E35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3" tint="0.59999389629810485"/>
  </sheetPr>
  <dimension ref="A1:H46"/>
  <sheetViews>
    <sheetView workbookViewId="0">
      <selection activeCell="D42" sqref="D42:E42"/>
    </sheetView>
  </sheetViews>
  <sheetFormatPr baseColWidth="10" defaultColWidth="11.42578125" defaultRowHeight="14.25" x14ac:dyDescent="0.2"/>
  <cols>
    <col min="1" max="1" width="23.5703125" style="2" bestFit="1" customWidth="1"/>
    <col min="2" max="5" width="11.5703125" style="2" bestFit="1" customWidth="1"/>
    <col min="6" max="6" width="19.28515625" style="2" customWidth="1"/>
    <col min="7" max="7" width="4" style="2" customWidth="1"/>
    <col min="8" max="16384" width="11.42578125" style="2"/>
  </cols>
  <sheetData>
    <row r="1" spans="1:8" ht="15" customHeight="1" x14ac:dyDescent="0.25">
      <c r="A1" s="1" t="s">
        <v>2</v>
      </c>
      <c r="B1" s="104" t="str">
        <f>'Grunddaten &amp; Hinweise'!B1</f>
        <v>Max Mustermann</v>
      </c>
      <c r="C1" s="104"/>
      <c r="D1" s="104"/>
      <c r="E1" s="104"/>
      <c r="H1" s="8"/>
    </row>
    <row r="2" spans="1:8" ht="30.2" customHeight="1" x14ac:dyDescent="0.2">
      <c r="A2" s="3" t="s">
        <v>5</v>
      </c>
      <c r="B2" s="101" t="str">
        <f>'Grunddaten &amp; Hinweise'!B2</f>
        <v>Musterinstitut</v>
      </c>
      <c r="C2" s="101"/>
      <c r="D2" s="101"/>
      <c r="E2" s="101"/>
    </row>
    <row r="3" spans="1:8" ht="15" customHeight="1" x14ac:dyDescent="0.2">
      <c r="A3" s="3" t="s">
        <v>6</v>
      </c>
      <c r="B3" s="102" t="str">
        <f>'Grunddaten &amp; Hinweise'!B3</f>
        <v>Max Mustermann</v>
      </c>
      <c r="C3" s="102"/>
      <c r="D3" s="102"/>
      <c r="E3" s="102"/>
      <c r="H3" s="34"/>
    </row>
    <row r="4" spans="1:8" ht="15" customHeight="1" x14ac:dyDescent="0.2">
      <c r="A4" s="3" t="s">
        <v>29</v>
      </c>
      <c r="B4" s="103" t="str">
        <f>'Grunddaten &amp; Hinweise'!B4</f>
        <v>Studentische Hilfskraft</v>
      </c>
      <c r="C4" s="103"/>
      <c r="D4" s="103"/>
      <c r="E4" s="103"/>
    </row>
    <row r="5" spans="1:8" ht="15" customHeight="1" x14ac:dyDescent="0.25">
      <c r="E5" s="35" t="s">
        <v>64</v>
      </c>
    </row>
    <row r="6" spans="1:8" ht="15" customHeight="1" x14ac:dyDescent="0.25">
      <c r="A6" s="24" t="s">
        <v>0</v>
      </c>
      <c r="B6" s="24" t="s">
        <v>58</v>
      </c>
      <c r="C6" s="24" t="s">
        <v>59</v>
      </c>
      <c r="D6" s="24" t="s">
        <v>1</v>
      </c>
      <c r="E6" s="6" t="s">
        <v>65</v>
      </c>
      <c r="F6" s="50" t="s">
        <v>26</v>
      </c>
    </row>
    <row r="7" spans="1:8" ht="15" customHeight="1" x14ac:dyDescent="0.25">
      <c r="A7" s="38">
        <f>DATE('Grunddaten &amp; Hinweise'!$B$5,3,1)</f>
        <v>45352</v>
      </c>
      <c r="B7" s="39">
        <v>0</v>
      </c>
      <c r="C7" s="39">
        <v>0</v>
      </c>
      <c r="D7" s="39">
        <v>0</v>
      </c>
      <c r="E7" s="40">
        <f>C7-B7-D7</f>
        <v>0</v>
      </c>
      <c r="F7" s="19"/>
      <c r="G7" s="41"/>
    </row>
    <row r="8" spans="1:8" ht="15" customHeight="1" x14ac:dyDescent="0.2">
      <c r="A8" s="38">
        <f>DATE('Grunddaten &amp; Hinweise'!$B$5,3,2)</f>
        <v>45353</v>
      </c>
      <c r="B8" s="39">
        <v>0</v>
      </c>
      <c r="C8" s="39">
        <v>0</v>
      </c>
      <c r="D8" s="39">
        <v>0</v>
      </c>
      <c r="E8" s="40">
        <f>C8-B8-D8</f>
        <v>0</v>
      </c>
      <c r="F8" s="19"/>
    </row>
    <row r="9" spans="1:8" ht="15" customHeight="1" x14ac:dyDescent="0.2">
      <c r="A9" s="38">
        <f>DATE('Grunddaten &amp; Hinweise'!$B$5,3,3)</f>
        <v>45354</v>
      </c>
      <c r="B9" s="39">
        <v>0</v>
      </c>
      <c r="C9" s="39">
        <v>0</v>
      </c>
      <c r="D9" s="39">
        <v>0</v>
      </c>
      <c r="E9" s="40">
        <f t="shared" ref="E9:E37" si="0">C9-B9-D9</f>
        <v>0</v>
      </c>
      <c r="F9" s="19"/>
    </row>
    <row r="10" spans="1:8" ht="15" customHeight="1" x14ac:dyDescent="0.2">
      <c r="A10" s="38">
        <f>DATE('Grunddaten &amp; Hinweise'!$B$5,3,4)</f>
        <v>45355</v>
      </c>
      <c r="B10" s="39">
        <v>0</v>
      </c>
      <c r="C10" s="39">
        <v>0</v>
      </c>
      <c r="D10" s="39">
        <v>0</v>
      </c>
      <c r="E10" s="40">
        <f t="shared" si="0"/>
        <v>0</v>
      </c>
      <c r="F10" s="19"/>
    </row>
    <row r="11" spans="1:8" ht="15" customHeight="1" x14ac:dyDescent="0.2">
      <c r="A11" s="38">
        <f>DATE('Grunddaten &amp; Hinweise'!$B$5,3,5)</f>
        <v>45356</v>
      </c>
      <c r="B11" s="39">
        <v>0</v>
      </c>
      <c r="C11" s="39">
        <v>0</v>
      </c>
      <c r="D11" s="39">
        <v>0</v>
      </c>
      <c r="E11" s="40">
        <f t="shared" si="0"/>
        <v>0</v>
      </c>
      <c r="F11" s="19"/>
    </row>
    <row r="12" spans="1:8" ht="15" customHeight="1" x14ac:dyDescent="0.2">
      <c r="A12" s="38">
        <f>DATE('Grunddaten &amp; Hinweise'!$B$5,3,6)</f>
        <v>45357</v>
      </c>
      <c r="B12" s="39">
        <v>0</v>
      </c>
      <c r="C12" s="39">
        <v>0</v>
      </c>
      <c r="D12" s="39">
        <v>0</v>
      </c>
      <c r="E12" s="40">
        <f t="shared" si="0"/>
        <v>0</v>
      </c>
      <c r="F12" s="19"/>
    </row>
    <row r="13" spans="1:8" ht="15" customHeight="1" x14ac:dyDescent="0.2">
      <c r="A13" s="38">
        <f>DATE('Grunddaten &amp; Hinweise'!$B$5,3,7)</f>
        <v>45358</v>
      </c>
      <c r="B13" s="39">
        <v>0</v>
      </c>
      <c r="C13" s="39">
        <v>0</v>
      </c>
      <c r="D13" s="39">
        <v>0</v>
      </c>
      <c r="E13" s="40">
        <f t="shared" si="0"/>
        <v>0</v>
      </c>
      <c r="F13" s="19"/>
    </row>
    <row r="14" spans="1:8" ht="15" customHeight="1" x14ac:dyDescent="0.2">
      <c r="A14" s="38">
        <f>DATE('Grunddaten &amp; Hinweise'!$B$5,3,8)</f>
        <v>45359</v>
      </c>
      <c r="B14" s="39">
        <v>0</v>
      </c>
      <c r="C14" s="39">
        <v>0</v>
      </c>
      <c r="D14" s="39">
        <v>0</v>
      </c>
      <c r="E14" s="40">
        <f t="shared" si="0"/>
        <v>0</v>
      </c>
      <c r="F14" s="19"/>
    </row>
    <row r="15" spans="1:8" ht="15" customHeight="1" x14ac:dyDescent="0.2">
      <c r="A15" s="38">
        <f>DATE('Grunddaten &amp; Hinweise'!$B$5,3,9)</f>
        <v>45360</v>
      </c>
      <c r="B15" s="39">
        <v>0</v>
      </c>
      <c r="C15" s="39">
        <v>0</v>
      </c>
      <c r="D15" s="39">
        <v>0</v>
      </c>
      <c r="E15" s="40">
        <f t="shared" si="0"/>
        <v>0</v>
      </c>
      <c r="F15" s="19"/>
    </row>
    <row r="16" spans="1:8" ht="15" customHeight="1" x14ac:dyDescent="0.2">
      <c r="A16" s="38">
        <f>DATE('Grunddaten &amp; Hinweise'!$B$5,3,10)</f>
        <v>45361</v>
      </c>
      <c r="B16" s="39">
        <v>0</v>
      </c>
      <c r="C16" s="39">
        <v>0</v>
      </c>
      <c r="D16" s="39">
        <v>0</v>
      </c>
      <c r="E16" s="40">
        <f t="shared" si="0"/>
        <v>0</v>
      </c>
      <c r="F16" s="19"/>
    </row>
    <row r="17" spans="1:6" ht="15" customHeight="1" x14ac:dyDescent="0.2">
      <c r="A17" s="38">
        <f>DATE('Grunddaten &amp; Hinweise'!$B$5,3,11)</f>
        <v>45362</v>
      </c>
      <c r="B17" s="39">
        <v>0</v>
      </c>
      <c r="C17" s="39">
        <v>0</v>
      </c>
      <c r="D17" s="39">
        <v>0</v>
      </c>
      <c r="E17" s="40">
        <f t="shared" si="0"/>
        <v>0</v>
      </c>
      <c r="F17" s="19"/>
    </row>
    <row r="18" spans="1:6" ht="15" customHeight="1" x14ac:dyDescent="0.2">
      <c r="A18" s="38">
        <f>DATE('Grunddaten &amp; Hinweise'!$B$5,3,12)</f>
        <v>45363</v>
      </c>
      <c r="B18" s="39">
        <v>0</v>
      </c>
      <c r="C18" s="39">
        <v>0</v>
      </c>
      <c r="D18" s="39">
        <v>0</v>
      </c>
      <c r="E18" s="40">
        <f t="shared" si="0"/>
        <v>0</v>
      </c>
      <c r="F18" s="19"/>
    </row>
    <row r="19" spans="1:6" ht="15" customHeight="1" x14ac:dyDescent="0.2">
      <c r="A19" s="38">
        <f>DATE('Grunddaten &amp; Hinweise'!$B$5,3,13)</f>
        <v>45364</v>
      </c>
      <c r="B19" s="39">
        <v>0</v>
      </c>
      <c r="C19" s="39">
        <v>0</v>
      </c>
      <c r="D19" s="39">
        <v>0</v>
      </c>
      <c r="E19" s="40">
        <f t="shared" si="0"/>
        <v>0</v>
      </c>
      <c r="F19" s="19"/>
    </row>
    <row r="20" spans="1:6" ht="15" customHeight="1" x14ac:dyDescent="0.2">
      <c r="A20" s="38">
        <f>DATE('Grunddaten &amp; Hinweise'!$B$5,3,14)</f>
        <v>45365</v>
      </c>
      <c r="B20" s="39">
        <v>0</v>
      </c>
      <c r="C20" s="39">
        <v>0</v>
      </c>
      <c r="D20" s="39">
        <v>0</v>
      </c>
      <c r="E20" s="40">
        <f t="shared" si="0"/>
        <v>0</v>
      </c>
      <c r="F20" s="19"/>
    </row>
    <row r="21" spans="1:6" ht="15" customHeight="1" x14ac:dyDescent="0.2">
      <c r="A21" s="38">
        <f>DATE('Grunddaten &amp; Hinweise'!$B$5,3,15)</f>
        <v>45366</v>
      </c>
      <c r="B21" s="39">
        <v>0</v>
      </c>
      <c r="C21" s="39">
        <v>0</v>
      </c>
      <c r="D21" s="39">
        <v>0</v>
      </c>
      <c r="E21" s="40">
        <f t="shared" si="0"/>
        <v>0</v>
      </c>
      <c r="F21" s="19"/>
    </row>
    <row r="22" spans="1:6" ht="15" customHeight="1" x14ac:dyDescent="0.2">
      <c r="A22" s="38">
        <f>DATE('Grunddaten &amp; Hinweise'!$B$5,3,16)</f>
        <v>45367</v>
      </c>
      <c r="B22" s="39">
        <v>0</v>
      </c>
      <c r="C22" s="39">
        <v>0</v>
      </c>
      <c r="D22" s="39">
        <v>0</v>
      </c>
      <c r="E22" s="40">
        <f t="shared" si="0"/>
        <v>0</v>
      </c>
      <c r="F22" s="19"/>
    </row>
    <row r="23" spans="1:6" ht="15" customHeight="1" x14ac:dyDescent="0.2">
      <c r="A23" s="38">
        <f>DATE('Grunddaten &amp; Hinweise'!$B$5,3,17)</f>
        <v>45368</v>
      </c>
      <c r="B23" s="39">
        <v>0</v>
      </c>
      <c r="C23" s="39">
        <v>0</v>
      </c>
      <c r="D23" s="39">
        <v>0</v>
      </c>
      <c r="E23" s="40">
        <f t="shared" si="0"/>
        <v>0</v>
      </c>
      <c r="F23" s="19"/>
    </row>
    <row r="24" spans="1:6" ht="15" customHeight="1" x14ac:dyDescent="0.2">
      <c r="A24" s="38">
        <f>DATE('Grunddaten &amp; Hinweise'!$B$5,3,18)</f>
        <v>45369</v>
      </c>
      <c r="B24" s="39">
        <v>0</v>
      </c>
      <c r="C24" s="39">
        <v>0</v>
      </c>
      <c r="D24" s="39">
        <v>0</v>
      </c>
      <c r="E24" s="40">
        <f t="shared" si="0"/>
        <v>0</v>
      </c>
      <c r="F24" s="19"/>
    </row>
    <row r="25" spans="1:6" ht="15" customHeight="1" x14ac:dyDescent="0.2">
      <c r="A25" s="38">
        <f>DATE('Grunddaten &amp; Hinweise'!$B$5,3,19)</f>
        <v>45370</v>
      </c>
      <c r="B25" s="39">
        <v>0</v>
      </c>
      <c r="C25" s="39">
        <v>0</v>
      </c>
      <c r="D25" s="39">
        <v>0</v>
      </c>
      <c r="E25" s="40">
        <f t="shared" si="0"/>
        <v>0</v>
      </c>
      <c r="F25" s="19"/>
    </row>
    <row r="26" spans="1:6" ht="15" customHeight="1" x14ac:dyDescent="0.2">
      <c r="A26" s="38">
        <f>DATE('Grunddaten &amp; Hinweise'!$B$5,3,20)</f>
        <v>45371</v>
      </c>
      <c r="B26" s="39">
        <v>0</v>
      </c>
      <c r="C26" s="39">
        <v>0</v>
      </c>
      <c r="D26" s="39">
        <v>0</v>
      </c>
      <c r="E26" s="40">
        <f t="shared" si="0"/>
        <v>0</v>
      </c>
      <c r="F26" s="19"/>
    </row>
    <row r="27" spans="1:6" ht="15" customHeight="1" x14ac:dyDescent="0.2">
      <c r="A27" s="38">
        <f>DATE('Grunddaten &amp; Hinweise'!$B$5,3,21)</f>
        <v>45372</v>
      </c>
      <c r="B27" s="39">
        <v>0</v>
      </c>
      <c r="C27" s="39">
        <v>0</v>
      </c>
      <c r="D27" s="39">
        <v>0</v>
      </c>
      <c r="E27" s="40">
        <f t="shared" si="0"/>
        <v>0</v>
      </c>
      <c r="F27" s="19"/>
    </row>
    <row r="28" spans="1:6" ht="15" customHeight="1" x14ac:dyDescent="0.2">
      <c r="A28" s="38">
        <f>DATE('Grunddaten &amp; Hinweise'!$B$5,3,22)</f>
        <v>45373</v>
      </c>
      <c r="B28" s="39">
        <v>0</v>
      </c>
      <c r="C28" s="39">
        <v>0</v>
      </c>
      <c r="D28" s="39">
        <v>0</v>
      </c>
      <c r="E28" s="40">
        <f t="shared" si="0"/>
        <v>0</v>
      </c>
      <c r="F28" s="19"/>
    </row>
    <row r="29" spans="1:6" ht="15" customHeight="1" x14ac:dyDescent="0.2">
      <c r="A29" s="38">
        <f>DATE('Grunddaten &amp; Hinweise'!$B$5,3,23)</f>
        <v>45374</v>
      </c>
      <c r="B29" s="39">
        <v>0</v>
      </c>
      <c r="C29" s="39">
        <v>0</v>
      </c>
      <c r="D29" s="39">
        <v>0</v>
      </c>
      <c r="E29" s="40">
        <f t="shared" si="0"/>
        <v>0</v>
      </c>
      <c r="F29" s="19"/>
    </row>
    <row r="30" spans="1:6" ht="15" customHeight="1" x14ac:dyDescent="0.2">
      <c r="A30" s="38">
        <f>DATE('Grunddaten &amp; Hinweise'!$B$5,3,24)</f>
        <v>45375</v>
      </c>
      <c r="B30" s="39">
        <v>0</v>
      </c>
      <c r="C30" s="39">
        <v>0</v>
      </c>
      <c r="D30" s="39">
        <v>0</v>
      </c>
      <c r="E30" s="40">
        <f t="shared" si="0"/>
        <v>0</v>
      </c>
      <c r="F30" s="19"/>
    </row>
    <row r="31" spans="1:6" ht="15" customHeight="1" x14ac:dyDescent="0.2">
      <c r="A31" s="38">
        <f>DATE('Grunddaten &amp; Hinweise'!$B$5,3,25)</f>
        <v>45376</v>
      </c>
      <c r="B31" s="39">
        <v>0</v>
      </c>
      <c r="C31" s="39">
        <v>0</v>
      </c>
      <c r="D31" s="39">
        <v>0</v>
      </c>
      <c r="E31" s="40">
        <f t="shared" si="0"/>
        <v>0</v>
      </c>
      <c r="F31" s="19"/>
    </row>
    <row r="32" spans="1:6" ht="15" customHeight="1" x14ac:dyDescent="0.2">
      <c r="A32" s="38">
        <f>DATE('Grunddaten &amp; Hinweise'!$B$5,3,26)</f>
        <v>45377</v>
      </c>
      <c r="B32" s="39">
        <v>0</v>
      </c>
      <c r="C32" s="39">
        <v>0</v>
      </c>
      <c r="D32" s="39">
        <v>0</v>
      </c>
      <c r="E32" s="40">
        <f t="shared" si="0"/>
        <v>0</v>
      </c>
      <c r="F32" s="19"/>
    </row>
    <row r="33" spans="1:6" ht="15" customHeight="1" x14ac:dyDescent="0.2">
      <c r="A33" s="38">
        <f>DATE('Grunddaten &amp; Hinweise'!$B$5,3,27)</f>
        <v>45378</v>
      </c>
      <c r="B33" s="39">
        <v>0</v>
      </c>
      <c r="C33" s="39">
        <v>0</v>
      </c>
      <c r="D33" s="39">
        <v>0</v>
      </c>
      <c r="E33" s="40">
        <f t="shared" si="0"/>
        <v>0</v>
      </c>
      <c r="F33" s="19"/>
    </row>
    <row r="34" spans="1:6" ht="15" customHeight="1" x14ac:dyDescent="0.2">
      <c r="A34" s="38">
        <f>DATE('Grunddaten &amp; Hinweise'!$B$5,3,28)</f>
        <v>45379</v>
      </c>
      <c r="B34" s="39">
        <v>0</v>
      </c>
      <c r="C34" s="39">
        <v>0</v>
      </c>
      <c r="D34" s="39">
        <v>0</v>
      </c>
      <c r="E34" s="40">
        <f t="shared" si="0"/>
        <v>0</v>
      </c>
      <c r="F34" s="19"/>
    </row>
    <row r="35" spans="1:6" ht="15" customHeight="1" x14ac:dyDescent="0.2">
      <c r="A35" s="38">
        <f>DATE('Grunddaten &amp; Hinweise'!$B$5,3,29)</f>
        <v>45380</v>
      </c>
      <c r="B35" s="39">
        <v>0</v>
      </c>
      <c r="C35" s="39">
        <v>0</v>
      </c>
      <c r="D35" s="39">
        <v>0</v>
      </c>
      <c r="E35" s="40">
        <f t="shared" si="0"/>
        <v>0</v>
      </c>
      <c r="F35" s="19"/>
    </row>
    <row r="36" spans="1:6" ht="15" customHeight="1" x14ac:dyDescent="0.2">
      <c r="A36" s="38">
        <f>DATE('Grunddaten &amp; Hinweise'!$B$5,3,30)</f>
        <v>45381</v>
      </c>
      <c r="B36" s="39">
        <v>0</v>
      </c>
      <c r="C36" s="39">
        <v>0</v>
      </c>
      <c r="D36" s="39">
        <v>0</v>
      </c>
      <c r="E36" s="40">
        <f t="shared" si="0"/>
        <v>0</v>
      </c>
      <c r="F36" s="19"/>
    </row>
    <row r="37" spans="1:6" ht="15" customHeight="1" x14ac:dyDescent="0.2">
      <c r="A37" s="42">
        <f>DATE('Grunddaten &amp; Hinweise'!$B$5,3,31)</f>
        <v>45382</v>
      </c>
      <c r="B37" s="43">
        <v>0</v>
      </c>
      <c r="C37" s="43">
        <v>0</v>
      </c>
      <c r="D37" s="43">
        <v>0</v>
      </c>
      <c r="E37" s="44">
        <f t="shared" si="0"/>
        <v>0</v>
      </c>
      <c r="F37" s="45"/>
    </row>
    <row r="38" spans="1:6" ht="15" customHeight="1" x14ac:dyDescent="0.2">
      <c r="A38" s="38"/>
      <c r="B38" s="46"/>
      <c r="C38" s="46"/>
      <c r="D38" s="46"/>
      <c r="E38" s="47">
        <f>SUM(E7:E37)</f>
        <v>0</v>
      </c>
    </row>
    <row r="39" spans="1:6" ht="15" customHeight="1" thickBot="1" x14ac:dyDescent="0.25"/>
    <row r="40" spans="1:6" ht="15" customHeight="1" thickBot="1" x14ac:dyDescent="0.25">
      <c r="C40" s="4"/>
      <c r="D40" s="48" t="s">
        <v>22</v>
      </c>
      <c r="E40" s="49">
        <f>SUM(E7:E37)*24</f>
        <v>0</v>
      </c>
      <c r="F40" s="2" t="s">
        <v>21</v>
      </c>
    </row>
    <row r="41" spans="1:6" ht="15" customHeight="1" thickBot="1" x14ac:dyDescent="0.25">
      <c r="C41" s="4"/>
      <c r="D41" s="48" t="s">
        <v>23</v>
      </c>
      <c r="E41" s="49">
        <f>'Grunddaten &amp; Hinweise'!B10</f>
        <v>0</v>
      </c>
      <c r="F41" s="2" t="s">
        <v>21</v>
      </c>
    </row>
    <row r="42" spans="1:6" ht="15" customHeight="1" thickBot="1" x14ac:dyDescent="0.3">
      <c r="C42" s="4"/>
      <c r="D42" s="53" t="s">
        <v>86</v>
      </c>
      <c r="E42" s="51">
        <f>E40-E41</f>
        <v>0</v>
      </c>
      <c r="F42" s="2" t="s">
        <v>21</v>
      </c>
    </row>
    <row r="43" spans="1:6" ht="15" customHeight="1" x14ac:dyDescent="0.2"/>
    <row r="44" spans="1:6" ht="15" customHeight="1" x14ac:dyDescent="0.2"/>
    <row r="45" spans="1:6" ht="15" customHeight="1" x14ac:dyDescent="0.2">
      <c r="A45" s="4" t="s">
        <v>60</v>
      </c>
      <c r="B45" s="13"/>
      <c r="C45" s="13"/>
      <c r="D45" s="13"/>
    </row>
    <row r="46" spans="1:6" ht="15" customHeight="1" x14ac:dyDescent="0.2"/>
  </sheetData>
  <mergeCells count="4">
    <mergeCell ref="B1:E1"/>
    <mergeCell ref="B2:E2"/>
    <mergeCell ref="B3:E3"/>
    <mergeCell ref="B4:E4"/>
  </mergeCells>
  <conditionalFormatting sqref="A38">
    <cfRule type="timePeriod" dxfId="67" priority="5" timePeriod="today">
      <formula>FLOOR(A38,1)=TODAY()</formula>
    </cfRule>
    <cfRule type="expression" dxfId="66" priority="6">
      <formula>OR(WEEKDAY(A38,1)=7,WEEKDAY(A38,1)=1)</formula>
    </cfRule>
  </conditionalFormatting>
  <conditionalFormatting sqref="B38:D38 B7:E37">
    <cfRule type="cellIs" dxfId="65" priority="4" operator="equal">
      <formula>0</formula>
    </cfRule>
  </conditionalFormatting>
  <conditionalFormatting sqref="E38">
    <cfRule type="cellIs" dxfId="64" priority="3" operator="equal">
      <formula>0</formula>
    </cfRule>
  </conditionalFormatting>
  <conditionalFormatting sqref="A7:A37">
    <cfRule type="timePeriod" dxfId="63" priority="1" timePeriod="today">
      <formula>FLOOR(A7,1)=TODAY()</formula>
    </cfRule>
    <cfRule type="expression" dxfId="62" priority="2">
      <formula>OR(WEEKDAY(A7,1)=7,WEEKDAY(A7,1)=1)</formula>
    </cfRule>
  </conditionalFormatting>
  <pageMargins left="0.70866141732283472" right="0.70866141732283472" top="1.2204724409448819" bottom="0.78740157480314965" header="0.6692913385826772" footer="0.31496062992125984"/>
  <pageSetup paperSize="9" orientation="portrait" horizontalDpi="4294967294" r:id="rId1"/>
  <headerFooter>
    <oddHeader>&amp;LStundennachweis über die geleistete Monatsarbeitszeit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6" tint="0.39997558519241921"/>
  </sheetPr>
  <dimension ref="A1:H46"/>
  <sheetViews>
    <sheetView topLeftCell="A16" workbookViewId="0">
      <selection activeCell="D42" sqref="D42:E42"/>
    </sheetView>
  </sheetViews>
  <sheetFormatPr baseColWidth="10" defaultColWidth="11.42578125" defaultRowHeight="14.25" x14ac:dyDescent="0.2"/>
  <cols>
    <col min="1" max="1" width="23.5703125" style="2" bestFit="1" customWidth="1"/>
    <col min="2" max="5" width="11.5703125" style="2" bestFit="1" customWidth="1"/>
    <col min="6" max="6" width="19.28515625" style="2" customWidth="1"/>
    <col min="7" max="7" width="4" style="2" customWidth="1"/>
    <col min="8" max="16384" width="11.42578125" style="2"/>
  </cols>
  <sheetData>
    <row r="1" spans="1:8" ht="15" customHeight="1" x14ac:dyDescent="0.25">
      <c r="A1" s="1" t="s">
        <v>2</v>
      </c>
      <c r="B1" s="104" t="str">
        <f>'Grunddaten &amp; Hinweise'!B1</f>
        <v>Max Mustermann</v>
      </c>
      <c r="C1" s="104"/>
      <c r="D1" s="104"/>
      <c r="E1" s="104"/>
      <c r="H1" s="8"/>
    </row>
    <row r="2" spans="1:8" ht="30.2" customHeight="1" x14ac:dyDescent="0.2">
      <c r="A2" s="3" t="s">
        <v>5</v>
      </c>
      <c r="B2" s="101" t="str">
        <f>'Grunddaten &amp; Hinweise'!B2</f>
        <v>Musterinstitut</v>
      </c>
      <c r="C2" s="101"/>
      <c r="D2" s="101"/>
      <c r="E2" s="101"/>
    </row>
    <row r="3" spans="1:8" ht="15" customHeight="1" x14ac:dyDescent="0.2">
      <c r="A3" s="3" t="s">
        <v>6</v>
      </c>
      <c r="B3" s="102" t="str">
        <f>'Grunddaten &amp; Hinweise'!B3</f>
        <v>Max Mustermann</v>
      </c>
      <c r="C3" s="102"/>
      <c r="D3" s="102"/>
      <c r="E3" s="102"/>
      <c r="H3" s="34"/>
    </row>
    <row r="4" spans="1:8" ht="15" customHeight="1" x14ac:dyDescent="0.2">
      <c r="A4" s="3" t="s">
        <v>29</v>
      </c>
      <c r="B4" s="103" t="str">
        <f>'Grunddaten &amp; Hinweise'!B4</f>
        <v>Studentische Hilfskraft</v>
      </c>
      <c r="C4" s="103"/>
      <c r="D4" s="103"/>
      <c r="E4" s="103"/>
    </row>
    <row r="5" spans="1:8" ht="15" customHeight="1" x14ac:dyDescent="0.25">
      <c r="E5" s="35" t="s">
        <v>64</v>
      </c>
    </row>
    <row r="6" spans="1:8" ht="15" customHeight="1" x14ac:dyDescent="0.25">
      <c r="A6" s="24" t="s">
        <v>0</v>
      </c>
      <c r="B6" s="24" t="s">
        <v>58</v>
      </c>
      <c r="C6" s="24" t="s">
        <v>59</v>
      </c>
      <c r="D6" s="24" t="s">
        <v>1</v>
      </c>
      <c r="E6" s="6" t="s">
        <v>65</v>
      </c>
      <c r="F6" s="50" t="s">
        <v>26</v>
      </c>
    </row>
    <row r="7" spans="1:8" ht="15" customHeight="1" x14ac:dyDescent="0.25">
      <c r="A7" s="38">
        <f>DATE('Grunddaten &amp; Hinweise'!$B$5,4,1)</f>
        <v>45383</v>
      </c>
      <c r="B7" s="39">
        <v>0</v>
      </c>
      <c r="C7" s="39">
        <v>0</v>
      </c>
      <c r="D7" s="39">
        <v>0</v>
      </c>
      <c r="E7" s="40">
        <f>C7-B7-D7</f>
        <v>0</v>
      </c>
      <c r="F7" s="19"/>
      <c r="G7" s="41"/>
    </row>
    <row r="8" spans="1:8" ht="15" customHeight="1" x14ac:dyDescent="0.2">
      <c r="A8" s="38">
        <f>DATE('Grunddaten &amp; Hinweise'!$B$5,4,2)</f>
        <v>45384</v>
      </c>
      <c r="B8" s="39">
        <v>0</v>
      </c>
      <c r="C8" s="39">
        <v>0</v>
      </c>
      <c r="D8" s="39">
        <v>0</v>
      </c>
      <c r="E8" s="40">
        <f>C8-B8-D8</f>
        <v>0</v>
      </c>
      <c r="F8" s="19"/>
    </row>
    <row r="9" spans="1:8" ht="15" customHeight="1" x14ac:dyDescent="0.2">
      <c r="A9" s="38">
        <f>DATE('Grunddaten &amp; Hinweise'!$B$5,4,3)</f>
        <v>45385</v>
      </c>
      <c r="B9" s="39">
        <v>0</v>
      </c>
      <c r="C9" s="39">
        <v>0</v>
      </c>
      <c r="D9" s="39">
        <v>0</v>
      </c>
      <c r="E9" s="40">
        <f t="shared" ref="E9:E36" si="0">C9-B9-D9</f>
        <v>0</v>
      </c>
      <c r="F9" s="19"/>
    </row>
    <row r="10" spans="1:8" ht="15" customHeight="1" x14ac:dyDescent="0.2">
      <c r="A10" s="38">
        <f>DATE('Grunddaten &amp; Hinweise'!$B$5,4,4)</f>
        <v>45386</v>
      </c>
      <c r="B10" s="39">
        <v>0</v>
      </c>
      <c r="C10" s="39">
        <v>0</v>
      </c>
      <c r="D10" s="39">
        <v>0</v>
      </c>
      <c r="E10" s="40">
        <f t="shared" si="0"/>
        <v>0</v>
      </c>
      <c r="F10" s="19"/>
    </row>
    <row r="11" spans="1:8" ht="15" customHeight="1" x14ac:dyDescent="0.2">
      <c r="A11" s="38">
        <f>DATE('Grunddaten &amp; Hinweise'!$B$5,4,5)</f>
        <v>45387</v>
      </c>
      <c r="B11" s="39">
        <v>0</v>
      </c>
      <c r="C11" s="39">
        <v>0</v>
      </c>
      <c r="D11" s="39">
        <v>0</v>
      </c>
      <c r="E11" s="40">
        <f t="shared" si="0"/>
        <v>0</v>
      </c>
      <c r="F11" s="19"/>
    </row>
    <row r="12" spans="1:8" ht="15" customHeight="1" x14ac:dyDescent="0.2">
      <c r="A12" s="38">
        <f>DATE('Grunddaten &amp; Hinweise'!$B$5,4,6)</f>
        <v>45388</v>
      </c>
      <c r="B12" s="39">
        <v>0</v>
      </c>
      <c r="C12" s="39">
        <v>0</v>
      </c>
      <c r="D12" s="39">
        <v>0</v>
      </c>
      <c r="E12" s="40">
        <f t="shared" si="0"/>
        <v>0</v>
      </c>
      <c r="F12" s="19"/>
    </row>
    <row r="13" spans="1:8" ht="15" customHeight="1" x14ac:dyDescent="0.2">
      <c r="A13" s="38">
        <f>DATE('Grunddaten &amp; Hinweise'!$B$5,4,7)</f>
        <v>45389</v>
      </c>
      <c r="B13" s="39">
        <v>0</v>
      </c>
      <c r="C13" s="39">
        <v>0</v>
      </c>
      <c r="D13" s="39">
        <v>0</v>
      </c>
      <c r="E13" s="40">
        <f t="shared" si="0"/>
        <v>0</v>
      </c>
      <c r="F13" s="19"/>
    </row>
    <row r="14" spans="1:8" ht="15" customHeight="1" x14ac:dyDescent="0.2">
      <c r="A14" s="38">
        <f>DATE('Grunddaten &amp; Hinweise'!$B$5,4,8)</f>
        <v>45390</v>
      </c>
      <c r="B14" s="39">
        <v>0</v>
      </c>
      <c r="C14" s="39">
        <v>0</v>
      </c>
      <c r="D14" s="39">
        <v>0</v>
      </c>
      <c r="E14" s="40">
        <f t="shared" si="0"/>
        <v>0</v>
      </c>
      <c r="F14" s="19"/>
    </row>
    <row r="15" spans="1:8" ht="15" customHeight="1" x14ac:dyDescent="0.2">
      <c r="A15" s="38">
        <f>DATE('Grunddaten &amp; Hinweise'!$B$5,4,9)</f>
        <v>45391</v>
      </c>
      <c r="B15" s="39">
        <v>0</v>
      </c>
      <c r="C15" s="39">
        <v>0</v>
      </c>
      <c r="D15" s="39">
        <v>0</v>
      </c>
      <c r="E15" s="40">
        <f t="shared" si="0"/>
        <v>0</v>
      </c>
      <c r="F15" s="19"/>
    </row>
    <row r="16" spans="1:8" ht="15" customHeight="1" x14ac:dyDescent="0.2">
      <c r="A16" s="38">
        <f>DATE('Grunddaten &amp; Hinweise'!$B$5,4,10)</f>
        <v>45392</v>
      </c>
      <c r="B16" s="39">
        <v>0</v>
      </c>
      <c r="C16" s="39">
        <v>0</v>
      </c>
      <c r="D16" s="39">
        <v>0</v>
      </c>
      <c r="E16" s="40">
        <f t="shared" si="0"/>
        <v>0</v>
      </c>
      <c r="F16" s="19"/>
    </row>
    <row r="17" spans="1:6" ht="15" customHeight="1" x14ac:dyDescent="0.2">
      <c r="A17" s="38">
        <f>DATE('Grunddaten &amp; Hinweise'!$B$5,4,11)</f>
        <v>45393</v>
      </c>
      <c r="B17" s="39">
        <v>0</v>
      </c>
      <c r="C17" s="39">
        <v>0</v>
      </c>
      <c r="D17" s="39">
        <v>0</v>
      </c>
      <c r="E17" s="40">
        <f t="shared" si="0"/>
        <v>0</v>
      </c>
      <c r="F17" s="19"/>
    </row>
    <row r="18" spans="1:6" ht="15" customHeight="1" x14ac:dyDescent="0.2">
      <c r="A18" s="38">
        <f>DATE('Grunddaten &amp; Hinweise'!$B$5,4,12)</f>
        <v>45394</v>
      </c>
      <c r="B18" s="39">
        <v>0</v>
      </c>
      <c r="C18" s="39">
        <v>0</v>
      </c>
      <c r="D18" s="39">
        <v>0</v>
      </c>
      <c r="E18" s="40">
        <f t="shared" si="0"/>
        <v>0</v>
      </c>
      <c r="F18" s="19"/>
    </row>
    <row r="19" spans="1:6" ht="15" customHeight="1" x14ac:dyDescent="0.2">
      <c r="A19" s="38">
        <f>DATE('Grunddaten &amp; Hinweise'!$B$5,4,13)</f>
        <v>45395</v>
      </c>
      <c r="B19" s="39">
        <v>0</v>
      </c>
      <c r="C19" s="39">
        <v>0</v>
      </c>
      <c r="D19" s="39">
        <v>0</v>
      </c>
      <c r="E19" s="40">
        <f t="shared" si="0"/>
        <v>0</v>
      </c>
      <c r="F19" s="19"/>
    </row>
    <row r="20" spans="1:6" ht="15" customHeight="1" x14ac:dyDescent="0.2">
      <c r="A20" s="38">
        <f>DATE('Grunddaten &amp; Hinweise'!$B$5,4,14)</f>
        <v>45396</v>
      </c>
      <c r="B20" s="39">
        <v>0</v>
      </c>
      <c r="C20" s="39">
        <v>0</v>
      </c>
      <c r="D20" s="39">
        <v>0</v>
      </c>
      <c r="E20" s="40">
        <f t="shared" si="0"/>
        <v>0</v>
      </c>
      <c r="F20" s="19"/>
    </row>
    <row r="21" spans="1:6" ht="15" customHeight="1" x14ac:dyDescent="0.2">
      <c r="A21" s="38">
        <f>DATE('Grunddaten &amp; Hinweise'!$B$5,4,15)</f>
        <v>45397</v>
      </c>
      <c r="B21" s="39">
        <v>0</v>
      </c>
      <c r="C21" s="39">
        <v>0</v>
      </c>
      <c r="D21" s="39">
        <v>0</v>
      </c>
      <c r="E21" s="40">
        <f t="shared" si="0"/>
        <v>0</v>
      </c>
      <c r="F21" s="19"/>
    </row>
    <row r="22" spans="1:6" ht="15" customHeight="1" x14ac:dyDescent="0.2">
      <c r="A22" s="38">
        <f>DATE('Grunddaten &amp; Hinweise'!$B$5,4,16)</f>
        <v>45398</v>
      </c>
      <c r="B22" s="39">
        <v>0</v>
      </c>
      <c r="C22" s="39">
        <v>0</v>
      </c>
      <c r="D22" s="39">
        <v>0</v>
      </c>
      <c r="E22" s="40">
        <f t="shared" si="0"/>
        <v>0</v>
      </c>
      <c r="F22" s="19"/>
    </row>
    <row r="23" spans="1:6" ht="15" customHeight="1" x14ac:dyDescent="0.2">
      <c r="A23" s="38">
        <f>DATE('Grunddaten &amp; Hinweise'!$B$5,4,17)</f>
        <v>45399</v>
      </c>
      <c r="B23" s="39">
        <v>0</v>
      </c>
      <c r="C23" s="39">
        <v>0</v>
      </c>
      <c r="D23" s="39">
        <v>0</v>
      </c>
      <c r="E23" s="40">
        <f t="shared" si="0"/>
        <v>0</v>
      </c>
      <c r="F23" s="19"/>
    </row>
    <row r="24" spans="1:6" ht="15" customHeight="1" x14ac:dyDescent="0.2">
      <c r="A24" s="38">
        <f>DATE('Grunddaten &amp; Hinweise'!$B$5,4,18)</f>
        <v>45400</v>
      </c>
      <c r="B24" s="39">
        <v>0</v>
      </c>
      <c r="C24" s="39">
        <v>0</v>
      </c>
      <c r="D24" s="39">
        <v>0</v>
      </c>
      <c r="E24" s="40">
        <f t="shared" si="0"/>
        <v>0</v>
      </c>
      <c r="F24" s="19"/>
    </row>
    <row r="25" spans="1:6" ht="15" customHeight="1" x14ac:dyDescent="0.2">
      <c r="A25" s="38">
        <f>DATE('Grunddaten &amp; Hinweise'!$B$5,4,19)</f>
        <v>45401</v>
      </c>
      <c r="B25" s="39">
        <v>0</v>
      </c>
      <c r="C25" s="39">
        <v>0</v>
      </c>
      <c r="D25" s="39">
        <v>0</v>
      </c>
      <c r="E25" s="40">
        <f t="shared" si="0"/>
        <v>0</v>
      </c>
      <c r="F25" s="19"/>
    </row>
    <row r="26" spans="1:6" ht="15" customHeight="1" x14ac:dyDescent="0.2">
      <c r="A26" s="38">
        <f>DATE('Grunddaten &amp; Hinweise'!$B$5,4,20)</f>
        <v>45402</v>
      </c>
      <c r="B26" s="39">
        <v>0</v>
      </c>
      <c r="C26" s="39">
        <v>0</v>
      </c>
      <c r="D26" s="39">
        <v>0</v>
      </c>
      <c r="E26" s="40">
        <f t="shared" si="0"/>
        <v>0</v>
      </c>
      <c r="F26" s="19"/>
    </row>
    <row r="27" spans="1:6" ht="15" customHeight="1" x14ac:dyDescent="0.2">
      <c r="A27" s="38">
        <f>DATE('Grunddaten &amp; Hinweise'!$B$5,4,21)</f>
        <v>45403</v>
      </c>
      <c r="B27" s="39">
        <v>0</v>
      </c>
      <c r="C27" s="39">
        <v>0</v>
      </c>
      <c r="D27" s="39">
        <v>0</v>
      </c>
      <c r="E27" s="40">
        <f t="shared" si="0"/>
        <v>0</v>
      </c>
      <c r="F27" s="19"/>
    </row>
    <row r="28" spans="1:6" ht="15" customHeight="1" x14ac:dyDescent="0.2">
      <c r="A28" s="38">
        <f>DATE('Grunddaten &amp; Hinweise'!$B$5,4,22)</f>
        <v>45404</v>
      </c>
      <c r="B28" s="39">
        <v>0</v>
      </c>
      <c r="C28" s="39">
        <v>0</v>
      </c>
      <c r="D28" s="39">
        <v>0</v>
      </c>
      <c r="E28" s="40">
        <f t="shared" si="0"/>
        <v>0</v>
      </c>
      <c r="F28" s="19"/>
    </row>
    <row r="29" spans="1:6" ht="15" customHeight="1" x14ac:dyDescent="0.2">
      <c r="A29" s="38">
        <f>DATE('Grunddaten &amp; Hinweise'!$B$5,4,23)</f>
        <v>45405</v>
      </c>
      <c r="B29" s="39">
        <v>0</v>
      </c>
      <c r="C29" s="39">
        <v>0</v>
      </c>
      <c r="D29" s="39">
        <v>0</v>
      </c>
      <c r="E29" s="40">
        <f t="shared" si="0"/>
        <v>0</v>
      </c>
      <c r="F29" s="19"/>
    </row>
    <row r="30" spans="1:6" ht="15" customHeight="1" x14ac:dyDescent="0.2">
      <c r="A30" s="38">
        <f>DATE('Grunddaten &amp; Hinweise'!$B$5,4,24)</f>
        <v>45406</v>
      </c>
      <c r="B30" s="39">
        <v>0</v>
      </c>
      <c r="C30" s="39">
        <v>0</v>
      </c>
      <c r="D30" s="39">
        <v>0</v>
      </c>
      <c r="E30" s="40">
        <f t="shared" si="0"/>
        <v>0</v>
      </c>
      <c r="F30" s="19"/>
    </row>
    <row r="31" spans="1:6" ht="15" customHeight="1" x14ac:dyDescent="0.2">
      <c r="A31" s="38">
        <f>DATE('Grunddaten &amp; Hinweise'!$B$5,4,25)</f>
        <v>45407</v>
      </c>
      <c r="B31" s="39">
        <v>0</v>
      </c>
      <c r="C31" s="39">
        <v>0</v>
      </c>
      <c r="D31" s="39">
        <v>0</v>
      </c>
      <c r="E31" s="40">
        <f t="shared" si="0"/>
        <v>0</v>
      </c>
      <c r="F31" s="19"/>
    </row>
    <row r="32" spans="1:6" ht="15" customHeight="1" x14ac:dyDescent="0.2">
      <c r="A32" s="38">
        <f>DATE('Grunddaten &amp; Hinweise'!$B$5,4,26)</f>
        <v>45408</v>
      </c>
      <c r="B32" s="39">
        <v>0</v>
      </c>
      <c r="C32" s="39">
        <v>0</v>
      </c>
      <c r="D32" s="39">
        <v>0</v>
      </c>
      <c r="E32" s="40">
        <f t="shared" si="0"/>
        <v>0</v>
      </c>
      <c r="F32" s="19"/>
    </row>
    <row r="33" spans="1:6" ht="15" customHeight="1" x14ac:dyDescent="0.2">
      <c r="A33" s="38">
        <f>DATE('Grunddaten &amp; Hinweise'!$B$5,4,27)</f>
        <v>45409</v>
      </c>
      <c r="B33" s="39">
        <v>0</v>
      </c>
      <c r="C33" s="39">
        <v>0</v>
      </c>
      <c r="D33" s="39">
        <v>0</v>
      </c>
      <c r="E33" s="40">
        <f t="shared" si="0"/>
        <v>0</v>
      </c>
      <c r="F33" s="19"/>
    </row>
    <row r="34" spans="1:6" ht="15" customHeight="1" x14ac:dyDescent="0.2">
      <c r="A34" s="38">
        <f>DATE('Grunddaten &amp; Hinweise'!$B$5,4,28)</f>
        <v>45410</v>
      </c>
      <c r="B34" s="39">
        <v>0</v>
      </c>
      <c r="C34" s="39">
        <v>0</v>
      </c>
      <c r="D34" s="39">
        <v>0</v>
      </c>
      <c r="E34" s="40">
        <f t="shared" si="0"/>
        <v>0</v>
      </c>
      <c r="F34" s="19"/>
    </row>
    <row r="35" spans="1:6" ht="15" customHeight="1" x14ac:dyDescent="0.2">
      <c r="A35" s="38">
        <f>DATE('Grunddaten &amp; Hinweise'!$B$5,4,29)</f>
        <v>45411</v>
      </c>
      <c r="B35" s="39">
        <v>0</v>
      </c>
      <c r="C35" s="39">
        <v>0</v>
      </c>
      <c r="D35" s="39">
        <v>0</v>
      </c>
      <c r="E35" s="40">
        <f t="shared" si="0"/>
        <v>0</v>
      </c>
      <c r="F35" s="19"/>
    </row>
    <row r="36" spans="1:6" ht="15" customHeight="1" x14ac:dyDescent="0.2">
      <c r="A36" s="42">
        <f>DATE('Grunddaten &amp; Hinweise'!$B$5,4,30)</f>
        <v>45412</v>
      </c>
      <c r="B36" s="43">
        <v>0</v>
      </c>
      <c r="C36" s="43">
        <v>0</v>
      </c>
      <c r="D36" s="43">
        <v>0</v>
      </c>
      <c r="E36" s="44">
        <f t="shared" si="0"/>
        <v>0</v>
      </c>
      <c r="F36" s="45"/>
    </row>
    <row r="37" spans="1:6" ht="15" customHeight="1" x14ac:dyDescent="0.2">
      <c r="A37" s="38"/>
      <c r="E37" s="47">
        <f>SUM(E7:E36)</f>
        <v>0</v>
      </c>
    </row>
    <row r="38" spans="1:6" ht="15" customHeight="1" x14ac:dyDescent="0.2">
      <c r="A38" s="38"/>
    </row>
    <row r="39" spans="1:6" ht="15" customHeight="1" thickBot="1" x14ac:dyDescent="0.25"/>
    <row r="40" spans="1:6" ht="15" customHeight="1" thickBot="1" x14ac:dyDescent="0.25">
      <c r="C40" s="4"/>
      <c r="D40" s="48" t="s">
        <v>22</v>
      </c>
      <c r="E40" s="49">
        <f>SUM(E7:E36)*24</f>
        <v>0</v>
      </c>
      <c r="F40" s="2" t="s">
        <v>21</v>
      </c>
    </row>
    <row r="41" spans="1:6" ht="15" customHeight="1" thickBot="1" x14ac:dyDescent="0.25">
      <c r="C41" s="4"/>
      <c r="D41" s="48" t="s">
        <v>23</v>
      </c>
      <c r="E41" s="49">
        <f>'Grunddaten &amp; Hinweise'!B11</f>
        <v>0</v>
      </c>
      <c r="F41" s="2" t="s">
        <v>21</v>
      </c>
    </row>
    <row r="42" spans="1:6" ht="15" customHeight="1" thickBot="1" x14ac:dyDescent="0.3">
      <c r="C42" s="4"/>
      <c r="D42" s="53" t="s">
        <v>86</v>
      </c>
      <c r="E42" s="51">
        <f>E40-E41</f>
        <v>0</v>
      </c>
      <c r="F42" s="2" t="s">
        <v>21</v>
      </c>
    </row>
    <row r="43" spans="1:6" ht="15" customHeight="1" x14ac:dyDescent="0.2"/>
    <row r="44" spans="1:6" ht="15" customHeight="1" x14ac:dyDescent="0.2"/>
    <row r="45" spans="1:6" ht="15" customHeight="1" x14ac:dyDescent="0.2">
      <c r="A45" s="4" t="s">
        <v>60</v>
      </c>
      <c r="B45" s="13"/>
      <c r="C45" s="13"/>
      <c r="D45" s="13"/>
    </row>
    <row r="46" spans="1:6" ht="15" customHeight="1" x14ac:dyDescent="0.2"/>
  </sheetData>
  <mergeCells count="4">
    <mergeCell ref="B1:E1"/>
    <mergeCell ref="B2:E2"/>
    <mergeCell ref="B3:E3"/>
    <mergeCell ref="B4:E4"/>
  </mergeCells>
  <conditionalFormatting sqref="A37:A38">
    <cfRule type="expression" dxfId="61" priority="7">
      <formula>OR(WEEKDAY(A36,1)=6,WEEKDAY(A36,1)=7)</formula>
    </cfRule>
  </conditionalFormatting>
  <conditionalFormatting sqref="B7:E36">
    <cfRule type="cellIs" dxfId="60" priority="4" operator="equal">
      <formula>0</formula>
    </cfRule>
  </conditionalFormatting>
  <conditionalFormatting sqref="E37">
    <cfRule type="cellIs" dxfId="59" priority="3" operator="equal">
      <formula>0</formula>
    </cfRule>
  </conditionalFormatting>
  <conditionalFormatting sqref="A7:A36">
    <cfRule type="timePeriod" dxfId="58" priority="1" timePeriod="today">
      <formula>FLOOR(A7,1)=TODAY()</formula>
    </cfRule>
    <cfRule type="expression" dxfId="57" priority="2">
      <formula>OR(WEEKDAY(A7,1)=7,WEEKDAY(A7,1)=1)</formula>
    </cfRule>
  </conditionalFormatting>
  <pageMargins left="0.70866141732283472" right="0.70866141732283472" top="1.2204724409448819" bottom="0.78740157480314965" header="0.6692913385826772" footer="0.31496062992125984"/>
  <pageSetup paperSize="9" orientation="portrait" horizontalDpi="4294967294" r:id="rId1"/>
  <headerFooter>
    <oddHeader>&amp;LStundennachweis über die geleistete Monatsarbeitszeit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theme="6" tint="0.39997558519241921"/>
  </sheetPr>
  <dimension ref="A1:H46"/>
  <sheetViews>
    <sheetView topLeftCell="A4" workbookViewId="0">
      <selection activeCell="D42" sqref="D42:E42"/>
    </sheetView>
  </sheetViews>
  <sheetFormatPr baseColWidth="10" defaultColWidth="11.42578125" defaultRowHeight="14.25" x14ac:dyDescent="0.2"/>
  <cols>
    <col min="1" max="1" width="23.5703125" style="2" bestFit="1" customWidth="1"/>
    <col min="2" max="5" width="11.5703125" style="2" bestFit="1" customWidth="1"/>
    <col min="6" max="6" width="19.28515625" style="2" customWidth="1"/>
    <col min="7" max="7" width="4" style="2" customWidth="1"/>
    <col min="8" max="16384" width="11.42578125" style="2"/>
  </cols>
  <sheetData>
    <row r="1" spans="1:8" ht="15" customHeight="1" x14ac:dyDescent="0.25">
      <c r="A1" s="1" t="s">
        <v>2</v>
      </c>
      <c r="B1" s="104" t="str">
        <f>'Grunddaten &amp; Hinweise'!B1</f>
        <v>Max Mustermann</v>
      </c>
      <c r="C1" s="104"/>
      <c r="D1" s="104"/>
      <c r="E1" s="104"/>
      <c r="H1" s="8"/>
    </row>
    <row r="2" spans="1:8" ht="30.2" customHeight="1" x14ac:dyDescent="0.2">
      <c r="A2" s="3" t="s">
        <v>5</v>
      </c>
      <c r="B2" s="101" t="str">
        <f>'Grunddaten &amp; Hinweise'!B2</f>
        <v>Musterinstitut</v>
      </c>
      <c r="C2" s="101"/>
      <c r="D2" s="101"/>
      <c r="E2" s="101"/>
    </row>
    <row r="3" spans="1:8" ht="15" customHeight="1" x14ac:dyDescent="0.2">
      <c r="A3" s="3" t="s">
        <v>6</v>
      </c>
      <c r="B3" s="102" t="str">
        <f>'Grunddaten &amp; Hinweise'!B3</f>
        <v>Max Mustermann</v>
      </c>
      <c r="C3" s="102"/>
      <c r="D3" s="102"/>
      <c r="E3" s="102"/>
      <c r="H3" s="34"/>
    </row>
    <row r="4" spans="1:8" ht="15" customHeight="1" x14ac:dyDescent="0.2">
      <c r="A4" s="3" t="s">
        <v>29</v>
      </c>
      <c r="B4" s="103" t="str">
        <f>'Grunddaten &amp; Hinweise'!B4</f>
        <v>Studentische Hilfskraft</v>
      </c>
      <c r="C4" s="103"/>
      <c r="D4" s="103"/>
      <c r="E4" s="103"/>
    </row>
    <row r="5" spans="1:8" ht="15" customHeight="1" x14ac:dyDescent="0.25">
      <c r="E5" s="35" t="s">
        <v>64</v>
      </c>
    </row>
    <row r="6" spans="1:8" ht="15" customHeight="1" x14ac:dyDescent="0.25">
      <c r="A6" s="24" t="s">
        <v>0</v>
      </c>
      <c r="B6" s="24" t="s">
        <v>58</v>
      </c>
      <c r="C6" s="24" t="s">
        <v>59</v>
      </c>
      <c r="D6" s="24" t="s">
        <v>1</v>
      </c>
      <c r="E6" s="6" t="s">
        <v>65</v>
      </c>
      <c r="F6" s="50" t="s">
        <v>26</v>
      </c>
      <c r="G6" s="41"/>
    </row>
    <row r="7" spans="1:8" ht="15" customHeight="1" x14ac:dyDescent="0.2">
      <c r="A7" s="38">
        <f>DATE('Grunddaten &amp; Hinweise'!$B$5,5,1)</f>
        <v>45413</v>
      </c>
      <c r="B7" s="39">
        <v>0</v>
      </c>
      <c r="C7" s="39">
        <v>0</v>
      </c>
      <c r="D7" s="39">
        <v>0</v>
      </c>
      <c r="E7" s="40">
        <f>C7-B7-D7</f>
        <v>0</v>
      </c>
      <c r="F7" s="19"/>
    </row>
    <row r="8" spans="1:8" ht="15" customHeight="1" x14ac:dyDescent="0.2">
      <c r="A8" s="38">
        <f>DATE('Grunddaten &amp; Hinweise'!$B$5,5,2)</f>
        <v>45414</v>
      </c>
      <c r="B8" s="39">
        <v>0</v>
      </c>
      <c r="C8" s="39">
        <v>0</v>
      </c>
      <c r="D8" s="39">
        <v>0</v>
      </c>
      <c r="E8" s="40">
        <f>C8-B8-D8</f>
        <v>0</v>
      </c>
      <c r="F8" s="19"/>
    </row>
    <row r="9" spans="1:8" ht="15" customHeight="1" x14ac:dyDescent="0.2">
      <c r="A9" s="38">
        <f>DATE('Grunddaten &amp; Hinweise'!$B$5,5,3)</f>
        <v>45415</v>
      </c>
      <c r="B9" s="39">
        <v>0</v>
      </c>
      <c r="C9" s="39">
        <v>0</v>
      </c>
      <c r="D9" s="39">
        <v>0</v>
      </c>
      <c r="E9" s="40">
        <f t="shared" ref="E9:E37" si="0">C9-B9-D9</f>
        <v>0</v>
      </c>
      <c r="F9" s="19"/>
    </row>
    <row r="10" spans="1:8" ht="15" customHeight="1" x14ac:dyDescent="0.2">
      <c r="A10" s="38">
        <f>DATE('Grunddaten &amp; Hinweise'!$B$5,5,4)</f>
        <v>45416</v>
      </c>
      <c r="B10" s="39">
        <v>0</v>
      </c>
      <c r="C10" s="39">
        <v>0</v>
      </c>
      <c r="D10" s="39">
        <v>0</v>
      </c>
      <c r="E10" s="40">
        <f t="shared" si="0"/>
        <v>0</v>
      </c>
      <c r="F10" s="19"/>
    </row>
    <row r="11" spans="1:8" ht="15" customHeight="1" x14ac:dyDescent="0.2">
      <c r="A11" s="38">
        <f>DATE('Grunddaten &amp; Hinweise'!$B$5,5,5)</f>
        <v>45417</v>
      </c>
      <c r="B11" s="39">
        <v>0</v>
      </c>
      <c r="C11" s="39">
        <v>0</v>
      </c>
      <c r="D11" s="39">
        <v>0</v>
      </c>
      <c r="E11" s="40">
        <f t="shared" si="0"/>
        <v>0</v>
      </c>
      <c r="F11" s="19"/>
    </row>
    <row r="12" spans="1:8" ht="15" customHeight="1" x14ac:dyDescent="0.2">
      <c r="A12" s="38">
        <f>DATE('Grunddaten &amp; Hinweise'!$B$5,5,6)</f>
        <v>45418</v>
      </c>
      <c r="B12" s="39">
        <v>0</v>
      </c>
      <c r="C12" s="39">
        <v>0</v>
      </c>
      <c r="D12" s="39">
        <v>0</v>
      </c>
      <c r="E12" s="40">
        <f t="shared" si="0"/>
        <v>0</v>
      </c>
      <c r="F12" s="19"/>
    </row>
    <row r="13" spans="1:8" ht="15" customHeight="1" x14ac:dyDescent="0.2">
      <c r="A13" s="38">
        <f>DATE('Grunddaten &amp; Hinweise'!$B$5,5,7)</f>
        <v>45419</v>
      </c>
      <c r="B13" s="39">
        <v>0</v>
      </c>
      <c r="C13" s="39">
        <v>0</v>
      </c>
      <c r="D13" s="39">
        <v>0</v>
      </c>
      <c r="E13" s="40">
        <f t="shared" si="0"/>
        <v>0</v>
      </c>
      <c r="F13" s="19"/>
    </row>
    <row r="14" spans="1:8" ht="15" customHeight="1" x14ac:dyDescent="0.2">
      <c r="A14" s="38">
        <f>DATE('Grunddaten &amp; Hinweise'!$B$5,5,8)</f>
        <v>45420</v>
      </c>
      <c r="B14" s="39">
        <v>0</v>
      </c>
      <c r="C14" s="39">
        <v>0</v>
      </c>
      <c r="D14" s="39">
        <v>0</v>
      </c>
      <c r="E14" s="40">
        <f t="shared" si="0"/>
        <v>0</v>
      </c>
      <c r="F14" s="19"/>
    </row>
    <row r="15" spans="1:8" ht="15" customHeight="1" x14ac:dyDescent="0.2">
      <c r="A15" s="38">
        <f>DATE('Grunddaten &amp; Hinweise'!$B$5,5,9)</f>
        <v>45421</v>
      </c>
      <c r="B15" s="39">
        <v>0</v>
      </c>
      <c r="C15" s="39">
        <v>0</v>
      </c>
      <c r="D15" s="39">
        <v>0</v>
      </c>
      <c r="E15" s="40">
        <f t="shared" si="0"/>
        <v>0</v>
      </c>
      <c r="F15" s="19"/>
    </row>
    <row r="16" spans="1:8" ht="15" customHeight="1" x14ac:dyDescent="0.2">
      <c r="A16" s="38">
        <f>DATE('Grunddaten &amp; Hinweise'!$B$5,5,10)</f>
        <v>45422</v>
      </c>
      <c r="B16" s="39">
        <v>0</v>
      </c>
      <c r="C16" s="39">
        <v>0</v>
      </c>
      <c r="D16" s="39">
        <v>0</v>
      </c>
      <c r="E16" s="40">
        <f t="shared" si="0"/>
        <v>0</v>
      </c>
      <c r="F16" s="19"/>
    </row>
    <row r="17" spans="1:6" ht="15" customHeight="1" x14ac:dyDescent="0.2">
      <c r="A17" s="38">
        <f>DATE('Grunddaten &amp; Hinweise'!$B$5,5,11)</f>
        <v>45423</v>
      </c>
      <c r="B17" s="39">
        <v>0</v>
      </c>
      <c r="C17" s="39">
        <v>0</v>
      </c>
      <c r="D17" s="39">
        <v>0</v>
      </c>
      <c r="E17" s="40">
        <f t="shared" si="0"/>
        <v>0</v>
      </c>
      <c r="F17" s="19"/>
    </row>
    <row r="18" spans="1:6" ht="15" customHeight="1" x14ac:dyDescent="0.2">
      <c r="A18" s="38">
        <f>DATE('Grunddaten &amp; Hinweise'!$B$5,5,12)</f>
        <v>45424</v>
      </c>
      <c r="B18" s="39">
        <v>0</v>
      </c>
      <c r="C18" s="39">
        <v>0</v>
      </c>
      <c r="D18" s="39">
        <v>0</v>
      </c>
      <c r="E18" s="40">
        <f t="shared" si="0"/>
        <v>0</v>
      </c>
      <c r="F18" s="19"/>
    </row>
    <row r="19" spans="1:6" ht="15" customHeight="1" x14ac:dyDescent="0.2">
      <c r="A19" s="38">
        <f>DATE('Grunddaten &amp; Hinweise'!$B$5,5,13)</f>
        <v>45425</v>
      </c>
      <c r="B19" s="39">
        <v>0</v>
      </c>
      <c r="C19" s="39">
        <v>0</v>
      </c>
      <c r="D19" s="39">
        <v>0</v>
      </c>
      <c r="E19" s="40">
        <f t="shared" si="0"/>
        <v>0</v>
      </c>
      <c r="F19" s="19"/>
    </row>
    <row r="20" spans="1:6" ht="15" customHeight="1" x14ac:dyDescent="0.2">
      <c r="A20" s="38">
        <f>DATE('Grunddaten &amp; Hinweise'!$B$5,5,14)</f>
        <v>45426</v>
      </c>
      <c r="B20" s="39">
        <v>0</v>
      </c>
      <c r="C20" s="39">
        <v>0</v>
      </c>
      <c r="D20" s="39">
        <v>0</v>
      </c>
      <c r="E20" s="40">
        <f t="shared" si="0"/>
        <v>0</v>
      </c>
      <c r="F20" s="19"/>
    </row>
    <row r="21" spans="1:6" ht="15" customHeight="1" x14ac:dyDescent="0.2">
      <c r="A21" s="38">
        <f>DATE('Grunddaten &amp; Hinweise'!$B$5,5,15)</f>
        <v>45427</v>
      </c>
      <c r="B21" s="39">
        <v>0</v>
      </c>
      <c r="C21" s="39">
        <v>0</v>
      </c>
      <c r="D21" s="39">
        <v>0</v>
      </c>
      <c r="E21" s="40">
        <f t="shared" si="0"/>
        <v>0</v>
      </c>
      <c r="F21" s="19"/>
    </row>
    <row r="22" spans="1:6" ht="15" customHeight="1" x14ac:dyDescent="0.2">
      <c r="A22" s="38">
        <f>DATE('Grunddaten &amp; Hinweise'!$B$5,5,16)</f>
        <v>45428</v>
      </c>
      <c r="B22" s="39">
        <v>0</v>
      </c>
      <c r="C22" s="39">
        <v>0</v>
      </c>
      <c r="D22" s="39">
        <v>0</v>
      </c>
      <c r="E22" s="40">
        <f t="shared" si="0"/>
        <v>0</v>
      </c>
      <c r="F22" s="19"/>
    </row>
    <row r="23" spans="1:6" ht="15" customHeight="1" x14ac:dyDescent="0.2">
      <c r="A23" s="38">
        <f>DATE('Grunddaten &amp; Hinweise'!$B$5,5,17)</f>
        <v>45429</v>
      </c>
      <c r="B23" s="39">
        <v>0</v>
      </c>
      <c r="C23" s="39">
        <v>0</v>
      </c>
      <c r="D23" s="39">
        <v>0</v>
      </c>
      <c r="E23" s="40">
        <f t="shared" si="0"/>
        <v>0</v>
      </c>
      <c r="F23" s="19"/>
    </row>
    <row r="24" spans="1:6" ht="15" customHeight="1" x14ac:dyDescent="0.2">
      <c r="A24" s="38">
        <f>DATE('Grunddaten &amp; Hinweise'!$B$5,5,18)</f>
        <v>45430</v>
      </c>
      <c r="B24" s="39">
        <v>0</v>
      </c>
      <c r="C24" s="39">
        <v>0</v>
      </c>
      <c r="D24" s="39">
        <v>0</v>
      </c>
      <c r="E24" s="40">
        <f t="shared" si="0"/>
        <v>0</v>
      </c>
      <c r="F24" s="19"/>
    </row>
    <row r="25" spans="1:6" ht="15" customHeight="1" x14ac:dyDescent="0.2">
      <c r="A25" s="38">
        <f>DATE('Grunddaten &amp; Hinweise'!$B$5,5,19)</f>
        <v>45431</v>
      </c>
      <c r="B25" s="39">
        <v>0</v>
      </c>
      <c r="C25" s="39">
        <v>0</v>
      </c>
      <c r="D25" s="39">
        <v>0</v>
      </c>
      <c r="E25" s="40">
        <f t="shared" si="0"/>
        <v>0</v>
      </c>
      <c r="F25" s="19"/>
    </row>
    <row r="26" spans="1:6" ht="15" customHeight="1" x14ac:dyDescent="0.2">
      <c r="A26" s="38">
        <f>DATE('Grunddaten &amp; Hinweise'!$B$5,5,20)</f>
        <v>45432</v>
      </c>
      <c r="B26" s="39">
        <v>0</v>
      </c>
      <c r="C26" s="39">
        <v>0</v>
      </c>
      <c r="D26" s="39">
        <v>0</v>
      </c>
      <c r="E26" s="40">
        <f t="shared" si="0"/>
        <v>0</v>
      </c>
      <c r="F26" s="19"/>
    </row>
    <row r="27" spans="1:6" ht="15" customHeight="1" x14ac:dyDescent="0.2">
      <c r="A27" s="38">
        <f>DATE('Grunddaten &amp; Hinweise'!$B$5,5,21)</f>
        <v>45433</v>
      </c>
      <c r="B27" s="39">
        <v>0</v>
      </c>
      <c r="C27" s="39">
        <v>0</v>
      </c>
      <c r="D27" s="39">
        <v>0</v>
      </c>
      <c r="E27" s="40">
        <f t="shared" si="0"/>
        <v>0</v>
      </c>
      <c r="F27" s="19"/>
    </row>
    <row r="28" spans="1:6" ht="15" customHeight="1" x14ac:dyDescent="0.2">
      <c r="A28" s="38">
        <f>DATE('Grunddaten &amp; Hinweise'!$B$5,5,22)</f>
        <v>45434</v>
      </c>
      <c r="B28" s="39">
        <v>0</v>
      </c>
      <c r="C28" s="39">
        <v>0</v>
      </c>
      <c r="D28" s="39">
        <v>0</v>
      </c>
      <c r="E28" s="40">
        <f t="shared" si="0"/>
        <v>0</v>
      </c>
      <c r="F28" s="19"/>
    </row>
    <row r="29" spans="1:6" ht="15" customHeight="1" x14ac:dyDescent="0.2">
      <c r="A29" s="38">
        <f>DATE('Grunddaten &amp; Hinweise'!$B$5,5,23)</f>
        <v>45435</v>
      </c>
      <c r="B29" s="39">
        <v>0</v>
      </c>
      <c r="C29" s="39">
        <v>0</v>
      </c>
      <c r="D29" s="39">
        <v>0</v>
      </c>
      <c r="E29" s="40">
        <f t="shared" si="0"/>
        <v>0</v>
      </c>
      <c r="F29" s="19"/>
    </row>
    <row r="30" spans="1:6" ht="15" customHeight="1" x14ac:dyDescent="0.2">
      <c r="A30" s="38">
        <f>DATE('Grunddaten &amp; Hinweise'!$B$5,5,24)</f>
        <v>45436</v>
      </c>
      <c r="B30" s="39">
        <v>0</v>
      </c>
      <c r="C30" s="39">
        <v>0</v>
      </c>
      <c r="D30" s="39">
        <v>0</v>
      </c>
      <c r="E30" s="40">
        <f t="shared" si="0"/>
        <v>0</v>
      </c>
      <c r="F30" s="19"/>
    </row>
    <row r="31" spans="1:6" ht="15" customHeight="1" x14ac:dyDescent="0.2">
      <c r="A31" s="38">
        <f>DATE('Grunddaten &amp; Hinweise'!$B$5,5,25)</f>
        <v>45437</v>
      </c>
      <c r="B31" s="39">
        <v>0</v>
      </c>
      <c r="C31" s="39">
        <v>0</v>
      </c>
      <c r="D31" s="39">
        <v>0</v>
      </c>
      <c r="E31" s="40">
        <f t="shared" si="0"/>
        <v>0</v>
      </c>
      <c r="F31" s="19"/>
    </row>
    <row r="32" spans="1:6" ht="15" customHeight="1" x14ac:dyDescent="0.2">
      <c r="A32" s="38">
        <f>DATE('Grunddaten &amp; Hinweise'!$B$5,5,26)</f>
        <v>45438</v>
      </c>
      <c r="B32" s="39">
        <v>0</v>
      </c>
      <c r="C32" s="39">
        <v>0</v>
      </c>
      <c r="D32" s="39">
        <v>0</v>
      </c>
      <c r="E32" s="40">
        <f t="shared" si="0"/>
        <v>0</v>
      </c>
      <c r="F32" s="19"/>
    </row>
    <row r="33" spans="1:6" ht="15" customHeight="1" x14ac:dyDescent="0.2">
      <c r="A33" s="38">
        <f>DATE('Grunddaten &amp; Hinweise'!$B$5,5,27)</f>
        <v>45439</v>
      </c>
      <c r="B33" s="39">
        <v>0</v>
      </c>
      <c r="C33" s="39">
        <v>0</v>
      </c>
      <c r="D33" s="39">
        <v>0</v>
      </c>
      <c r="E33" s="40">
        <f t="shared" si="0"/>
        <v>0</v>
      </c>
      <c r="F33" s="19"/>
    </row>
    <row r="34" spans="1:6" ht="15" customHeight="1" x14ac:dyDescent="0.2">
      <c r="A34" s="38">
        <f>DATE('Grunddaten &amp; Hinweise'!$B$5,5,28)</f>
        <v>45440</v>
      </c>
      <c r="B34" s="39">
        <v>0</v>
      </c>
      <c r="C34" s="39">
        <v>0</v>
      </c>
      <c r="D34" s="39">
        <v>0</v>
      </c>
      <c r="E34" s="40">
        <f t="shared" si="0"/>
        <v>0</v>
      </c>
      <c r="F34" s="19"/>
    </row>
    <row r="35" spans="1:6" ht="15" customHeight="1" x14ac:dyDescent="0.2">
      <c r="A35" s="38">
        <f>DATE('Grunddaten &amp; Hinweise'!$B$5,5,29)</f>
        <v>45441</v>
      </c>
      <c r="B35" s="39">
        <v>0</v>
      </c>
      <c r="C35" s="39">
        <v>0</v>
      </c>
      <c r="D35" s="39">
        <v>0</v>
      </c>
      <c r="E35" s="40">
        <f t="shared" si="0"/>
        <v>0</v>
      </c>
      <c r="F35" s="19"/>
    </row>
    <row r="36" spans="1:6" ht="15" customHeight="1" x14ac:dyDescent="0.2">
      <c r="A36" s="38">
        <f>DATE('Grunddaten &amp; Hinweise'!$B$5,5,30)</f>
        <v>45442</v>
      </c>
      <c r="B36" s="39">
        <v>0</v>
      </c>
      <c r="C36" s="39">
        <v>0</v>
      </c>
      <c r="D36" s="39">
        <v>0</v>
      </c>
      <c r="E36" s="40">
        <f t="shared" si="0"/>
        <v>0</v>
      </c>
      <c r="F36" s="19"/>
    </row>
    <row r="37" spans="1:6" ht="15" customHeight="1" x14ac:dyDescent="0.2">
      <c r="A37" s="42">
        <f>DATE('Grunddaten &amp; Hinweise'!$B$5,5,31)</f>
        <v>45443</v>
      </c>
      <c r="B37" s="43">
        <v>0</v>
      </c>
      <c r="C37" s="43">
        <v>0</v>
      </c>
      <c r="D37" s="43">
        <v>0</v>
      </c>
      <c r="E37" s="44">
        <f t="shared" si="0"/>
        <v>0</v>
      </c>
      <c r="F37" s="45"/>
    </row>
    <row r="38" spans="1:6" ht="15" customHeight="1" x14ac:dyDescent="0.2">
      <c r="A38" s="38"/>
      <c r="B38" s="46"/>
      <c r="C38" s="46"/>
      <c r="D38" s="46"/>
      <c r="E38" s="47">
        <f>SUM(E7:E37)</f>
        <v>0</v>
      </c>
    </row>
    <row r="39" spans="1:6" ht="15" customHeight="1" thickBot="1" x14ac:dyDescent="0.25"/>
    <row r="40" spans="1:6" ht="15" customHeight="1" thickBot="1" x14ac:dyDescent="0.25">
      <c r="C40" s="4"/>
      <c r="D40" s="48" t="s">
        <v>22</v>
      </c>
      <c r="E40" s="49">
        <f>SUM(E7:E37)*24</f>
        <v>0</v>
      </c>
      <c r="F40" s="2" t="s">
        <v>21</v>
      </c>
    </row>
    <row r="41" spans="1:6" ht="15" customHeight="1" thickBot="1" x14ac:dyDescent="0.25">
      <c r="C41" s="4"/>
      <c r="D41" s="48" t="s">
        <v>23</v>
      </c>
      <c r="E41" s="49">
        <f>'Grunddaten &amp; Hinweise'!B12</f>
        <v>0</v>
      </c>
      <c r="F41" s="2" t="s">
        <v>21</v>
      </c>
    </row>
    <row r="42" spans="1:6" ht="15" customHeight="1" thickBot="1" x14ac:dyDescent="0.3">
      <c r="C42" s="4"/>
      <c r="D42" s="53" t="s">
        <v>86</v>
      </c>
      <c r="E42" s="51">
        <f>E40-E41</f>
        <v>0</v>
      </c>
      <c r="F42" s="2" t="s">
        <v>21</v>
      </c>
    </row>
    <row r="43" spans="1:6" ht="15" customHeight="1" x14ac:dyDescent="0.2"/>
    <row r="44" spans="1:6" ht="15" customHeight="1" x14ac:dyDescent="0.2"/>
    <row r="45" spans="1:6" ht="15" customHeight="1" x14ac:dyDescent="0.2">
      <c r="A45" s="4" t="s">
        <v>60</v>
      </c>
      <c r="B45" s="13"/>
      <c r="C45" s="13"/>
      <c r="D45" s="13"/>
    </row>
    <row r="46" spans="1:6" ht="15" customHeight="1" x14ac:dyDescent="0.2"/>
  </sheetData>
  <mergeCells count="4">
    <mergeCell ref="B1:E1"/>
    <mergeCell ref="B2:E2"/>
    <mergeCell ref="B3:E3"/>
    <mergeCell ref="B4:E4"/>
  </mergeCells>
  <conditionalFormatting sqref="A38">
    <cfRule type="timePeriod" dxfId="56" priority="5" timePeriod="today">
      <formula>FLOOR(A38,1)=TODAY()</formula>
    </cfRule>
    <cfRule type="expression" dxfId="55" priority="6">
      <formula>OR(WEEKDAY(A38,1)=7,WEEKDAY(A38,1)=1)</formula>
    </cfRule>
  </conditionalFormatting>
  <conditionalFormatting sqref="B7:E37 B38:D38">
    <cfRule type="cellIs" dxfId="54" priority="4" operator="equal">
      <formula>0</formula>
    </cfRule>
  </conditionalFormatting>
  <conditionalFormatting sqref="E38">
    <cfRule type="cellIs" dxfId="53" priority="3" operator="equal">
      <formula>0</formula>
    </cfRule>
  </conditionalFormatting>
  <conditionalFormatting sqref="A7:A37">
    <cfRule type="timePeriod" dxfId="52" priority="1" timePeriod="today">
      <formula>FLOOR(A7,1)=TODAY()</formula>
    </cfRule>
    <cfRule type="expression" dxfId="51" priority="2">
      <formula>OR(WEEKDAY(A7,1)=7,WEEKDAY(A7,1)=1)</formula>
    </cfRule>
  </conditionalFormatting>
  <pageMargins left="0.70866141732283472" right="0.70866141732283472" top="1.2204724409448819" bottom="0.78740157480314965" header="0.6692913385826772" footer="0.31496062992125984"/>
  <pageSetup paperSize="9" orientation="portrait" horizontalDpi="4294967294" r:id="rId1"/>
  <headerFooter>
    <oddHeader>&amp;LStundennachweis über die geleistete Monatsarbeitszeit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6" tint="0.39997558519241921"/>
  </sheetPr>
  <dimension ref="A1:H46"/>
  <sheetViews>
    <sheetView workbookViewId="0">
      <selection activeCell="D42" sqref="D42:E42"/>
    </sheetView>
  </sheetViews>
  <sheetFormatPr baseColWidth="10" defaultColWidth="11.42578125" defaultRowHeight="14.25" x14ac:dyDescent="0.2"/>
  <cols>
    <col min="1" max="1" width="23.5703125" style="2" bestFit="1" customWidth="1"/>
    <col min="2" max="5" width="11.5703125" style="2" bestFit="1" customWidth="1"/>
    <col min="6" max="6" width="19.28515625" style="2" customWidth="1"/>
    <col min="7" max="7" width="4" style="2" customWidth="1"/>
    <col min="8" max="16384" width="11.42578125" style="2"/>
  </cols>
  <sheetData>
    <row r="1" spans="1:8" ht="15" customHeight="1" x14ac:dyDescent="0.25">
      <c r="A1" s="1" t="s">
        <v>2</v>
      </c>
      <c r="B1" s="104" t="str">
        <f>'Grunddaten &amp; Hinweise'!B1</f>
        <v>Max Mustermann</v>
      </c>
      <c r="C1" s="104"/>
      <c r="D1" s="104"/>
      <c r="E1" s="104"/>
      <c r="H1" s="8"/>
    </row>
    <row r="2" spans="1:8" ht="30.2" customHeight="1" x14ac:dyDescent="0.2">
      <c r="A2" s="3" t="s">
        <v>5</v>
      </c>
      <c r="B2" s="101" t="str">
        <f>'Grunddaten &amp; Hinweise'!B2</f>
        <v>Musterinstitut</v>
      </c>
      <c r="C2" s="101"/>
      <c r="D2" s="101"/>
      <c r="E2" s="101"/>
    </row>
    <row r="3" spans="1:8" ht="15" customHeight="1" x14ac:dyDescent="0.2">
      <c r="A3" s="3" t="s">
        <v>6</v>
      </c>
      <c r="B3" s="102" t="str">
        <f>'Grunddaten &amp; Hinweise'!B3</f>
        <v>Max Mustermann</v>
      </c>
      <c r="C3" s="102"/>
      <c r="D3" s="102"/>
      <c r="E3" s="102"/>
      <c r="H3" s="34"/>
    </row>
    <row r="4" spans="1:8" ht="15" customHeight="1" x14ac:dyDescent="0.2">
      <c r="A4" s="3" t="s">
        <v>29</v>
      </c>
      <c r="B4" s="103" t="str">
        <f>'Grunddaten &amp; Hinweise'!B4</f>
        <v>Studentische Hilfskraft</v>
      </c>
      <c r="C4" s="103"/>
      <c r="D4" s="103"/>
      <c r="E4" s="103"/>
    </row>
    <row r="5" spans="1:8" ht="15" customHeight="1" x14ac:dyDescent="0.25">
      <c r="E5" s="35" t="s">
        <v>64</v>
      </c>
    </row>
    <row r="6" spans="1:8" ht="15" customHeight="1" x14ac:dyDescent="0.25">
      <c r="A6" s="24" t="s">
        <v>0</v>
      </c>
      <c r="B6" s="24" t="s">
        <v>58</v>
      </c>
      <c r="C6" s="24" t="s">
        <v>59</v>
      </c>
      <c r="D6" s="24" t="s">
        <v>1</v>
      </c>
      <c r="E6" s="6" t="s">
        <v>65</v>
      </c>
      <c r="F6" s="50" t="s">
        <v>26</v>
      </c>
      <c r="G6" s="41"/>
    </row>
    <row r="7" spans="1:8" ht="15" customHeight="1" x14ac:dyDescent="0.2">
      <c r="A7" s="38">
        <f>DATE('Grunddaten &amp; Hinweise'!$B$5,6,1)</f>
        <v>45444</v>
      </c>
      <c r="B7" s="39">
        <v>0</v>
      </c>
      <c r="C7" s="39">
        <v>0</v>
      </c>
      <c r="D7" s="39">
        <v>0</v>
      </c>
      <c r="E7" s="40">
        <f>C7-B7-D7</f>
        <v>0</v>
      </c>
      <c r="F7" s="19"/>
    </row>
    <row r="8" spans="1:8" ht="15" customHeight="1" x14ac:dyDescent="0.2">
      <c r="A8" s="38">
        <f>DATE('Grunddaten &amp; Hinweise'!$B$5,6,2)</f>
        <v>45445</v>
      </c>
      <c r="B8" s="39">
        <v>0</v>
      </c>
      <c r="C8" s="39">
        <v>0</v>
      </c>
      <c r="D8" s="39">
        <v>0</v>
      </c>
      <c r="E8" s="40">
        <f>C8-B8-D8</f>
        <v>0</v>
      </c>
      <c r="F8" s="19"/>
    </row>
    <row r="9" spans="1:8" ht="15" customHeight="1" x14ac:dyDescent="0.2">
      <c r="A9" s="38">
        <f>DATE('Grunddaten &amp; Hinweise'!$B$5,6,3)</f>
        <v>45446</v>
      </c>
      <c r="B9" s="39">
        <v>0</v>
      </c>
      <c r="C9" s="39">
        <v>0</v>
      </c>
      <c r="D9" s="39">
        <v>0</v>
      </c>
      <c r="E9" s="40">
        <f t="shared" ref="E9:E36" si="0">C9-B9-D9</f>
        <v>0</v>
      </c>
      <c r="F9" s="19"/>
    </row>
    <row r="10" spans="1:8" ht="15" customHeight="1" x14ac:dyDescent="0.2">
      <c r="A10" s="38">
        <f>DATE('Grunddaten &amp; Hinweise'!$B$5,6,4)</f>
        <v>45447</v>
      </c>
      <c r="B10" s="39">
        <v>0</v>
      </c>
      <c r="C10" s="39">
        <v>0</v>
      </c>
      <c r="D10" s="39">
        <v>0</v>
      </c>
      <c r="E10" s="40">
        <f t="shared" si="0"/>
        <v>0</v>
      </c>
      <c r="F10" s="19"/>
    </row>
    <row r="11" spans="1:8" ht="15" customHeight="1" x14ac:dyDescent="0.2">
      <c r="A11" s="38">
        <f>DATE('Grunddaten &amp; Hinweise'!$B$5,6,5)</f>
        <v>45448</v>
      </c>
      <c r="B11" s="39">
        <v>0</v>
      </c>
      <c r="C11" s="39">
        <v>0</v>
      </c>
      <c r="D11" s="39">
        <v>0</v>
      </c>
      <c r="E11" s="40">
        <f t="shared" si="0"/>
        <v>0</v>
      </c>
      <c r="F11" s="19"/>
    </row>
    <row r="12" spans="1:8" ht="15" customHeight="1" x14ac:dyDescent="0.2">
      <c r="A12" s="38">
        <f>DATE('Grunddaten &amp; Hinweise'!$B$5,6,6)</f>
        <v>45449</v>
      </c>
      <c r="B12" s="39">
        <v>0</v>
      </c>
      <c r="C12" s="39">
        <v>0</v>
      </c>
      <c r="D12" s="39">
        <v>0</v>
      </c>
      <c r="E12" s="40">
        <f t="shared" si="0"/>
        <v>0</v>
      </c>
      <c r="F12" s="19"/>
    </row>
    <row r="13" spans="1:8" ht="15" customHeight="1" x14ac:dyDescent="0.2">
      <c r="A13" s="38">
        <f>DATE('Grunddaten &amp; Hinweise'!$B$5,6,7)</f>
        <v>45450</v>
      </c>
      <c r="B13" s="39">
        <v>0</v>
      </c>
      <c r="C13" s="39">
        <v>0</v>
      </c>
      <c r="D13" s="39">
        <v>0</v>
      </c>
      <c r="E13" s="40">
        <f t="shared" si="0"/>
        <v>0</v>
      </c>
      <c r="F13" s="19"/>
    </row>
    <row r="14" spans="1:8" ht="15" customHeight="1" x14ac:dyDescent="0.2">
      <c r="A14" s="38">
        <f>DATE('Grunddaten &amp; Hinweise'!$B$5,6,8)</f>
        <v>45451</v>
      </c>
      <c r="B14" s="39">
        <v>0</v>
      </c>
      <c r="C14" s="39">
        <v>0</v>
      </c>
      <c r="D14" s="39">
        <v>0</v>
      </c>
      <c r="E14" s="40">
        <f t="shared" si="0"/>
        <v>0</v>
      </c>
      <c r="F14" s="19"/>
    </row>
    <row r="15" spans="1:8" ht="15" customHeight="1" x14ac:dyDescent="0.2">
      <c r="A15" s="38">
        <f>DATE('Grunddaten &amp; Hinweise'!$B$5,6,9)</f>
        <v>45452</v>
      </c>
      <c r="B15" s="39">
        <v>0</v>
      </c>
      <c r="C15" s="39">
        <v>0</v>
      </c>
      <c r="D15" s="39">
        <v>0</v>
      </c>
      <c r="E15" s="40">
        <f t="shared" si="0"/>
        <v>0</v>
      </c>
      <c r="F15" s="19"/>
    </row>
    <row r="16" spans="1:8" ht="15" customHeight="1" x14ac:dyDescent="0.2">
      <c r="A16" s="38">
        <f>DATE('Grunddaten &amp; Hinweise'!$B$5,6,10)</f>
        <v>45453</v>
      </c>
      <c r="B16" s="39">
        <v>0</v>
      </c>
      <c r="C16" s="39">
        <v>0</v>
      </c>
      <c r="D16" s="39">
        <v>0</v>
      </c>
      <c r="E16" s="40">
        <f t="shared" si="0"/>
        <v>0</v>
      </c>
      <c r="F16" s="19"/>
    </row>
    <row r="17" spans="1:6" ht="15" customHeight="1" x14ac:dyDescent="0.2">
      <c r="A17" s="38">
        <f>DATE('Grunddaten &amp; Hinweise'!$B$5,6,11)</f>
        <v>45454</v>
      </c>
      <c r="B17" s="39">
        <v>0</v>
      </c>
      <c r="C17" s="39">
        <v>0</v>
      </c>
      <c r="D17" s="39">
        <v>0</v>
      </c>
      <c r="E17" s="40">
        <f t="shared" si="0"/>
        <v>0</v>
      </c>
      <c r="F17" s="19"/>
    </row>
    <row r="18" spans="1:6" ht="15" customHeight="1" x14ac:dyDescent="0.2">
      <c r="A18" s="38">
        <f>DATE('Grunddaten &amp; Hinweise'!$B$5,6,12)</f>
        <v>45455</v>
      </c>
      <c r="B18" s="39">
        <v>0</v>
      </c>
      <c r="C18" s="39">
        <v>0</v>
      </c>
      <c r="D18" s="39">
        <v>0</v>
      </c>
      <c r="E18" s="40">
        <f t="shared" si="0"/>
        <v>0</v>
      </c>
      <c r="F18" s="19"/>
    </row>
    <row r="19" spans="1:6" ht="15" customHeight="1" x14ac:dyDescent="0.2">
      <c r="A19" s="38">
        <f>DATE('Grunddaten &amp; Hinweise'!$B$5,6,13)</f>
        <v>45456</v>
      </c>
      <c r="B19" s="39">
        <v>0</v>
      </c>
      <c r="C19" s="39">
        <v>0</v>
      </c>
      <c r="D19" s="39">
        <v>0</v>
      </c>
      <c r="E19" s="40">
        <f t="shared" si="0"/>
        <v>0</v>
      </c>
      <c r="F19" s="19"/>
    </row>
    <row r="20" spans="1:6" ht="15" customHeight="1" x14ac:dyDescent="0.2">
      <c r="A20" s="38">
        <f>DATE('Grunddaten &amp; Hinweise'!$B$5,6,14)</f>
        <v>45457</v>
      </c>
      <c r="B20" s="39">
        <v>0</v>
      </c>
      <c r="C20" s="39">
        <v>0</v>
      </c>
      <c r="D20" s="39">
        <v>0</v>
      </c>
      <c r="E20" s="40">
        <f t="shared" si="0"/>
        <v>0</v>
      </c>
      <c r="F20" s="19"/>
    </row>
    <row r="21" spans="1:6" ht="15" customHeight="1" x14ac:dyDescent="0.2">
      <c r="A21" s="38">
        <f>DATE('Grunddaten &amp; Hinweise'!$B$5,6,15)</f>
        <v>45458</v>
      </c>
      <c r="B21" s="39">
        <v>0</v>
      </c>
      <c r="C21" s="39">
        <v>0</v>
      </c>
      <c r="D21" s="39">
        <v>0</v>
      </c>
      <c r="E21" s="40">
        <f t="shared" si="0"/>
        <v>0</v>
      </c>
      <c r="F21" s="19"/>
    </row>
    <row r="22" spans="1:6" ht="15" customHeight="1" x14ac:dyDescent="0.2">
      <c r="A22" s="38">
        <f>DATE('Grunddaten &amp; Hinweise'!$B$5,6,16)</f>
        <v>45459</v>
      </c>
      <c r="B22" s="39">
        <v>0</v>
      </c>
      <c r="C22" s="39">
        <v>0</v>
      </c>
      <c r="D22" s="39">
        <v>0</v>
      </c>
      <c r="E22" s="40">
        <f t="shared" si="0"/>
        <v>0</v>
      </c>
      <c r="F22" s="19"/>
    </row>
    <row r="23" spans="1:6" ht="15" customHeight="1" x14ac:dyDescent="0.2">
      <c r="A23" s="38">
        <f>DATE('Grunddaten &amp; Hinweise'!$B$5,6,17)</f>
        <v>45460</v>
      </c>
      <c r="B23" s="39">
        <v>0</v>
      </c>
      <c r="C23" s="39">
        <v>0</v>
      </c>
      <c r="D23" s="39">
        <v>0</v>
      </c>
      <c r="E23" s="40">
        <f t="shared" si="0"/>
        <v>0</v>
      </c>
      <c r="F23" s="19"/>
    </row>
    <row r="24" spans="1:6" ht="15" customHeight="1" x14ac:dyDescent="0.2">
      <c r="A24" s="38">
        <f>DATE('Grunddaten &amp; Hinweise'!$B$5,6,18)</f>
        <v>45461</v>
      </c>
      <c r="B24" s="39">
        <v>0</v>
      </c>
      <c r="C24" s="39">
        <v>0</v>
      </c>
      <c r="D24" s="39">
        <v>0</v>
      </c>
      <c r="E24" s="40">
        <f t="shared" si="0"/>
        <v>0</v>
      </c>
      <c r="F24" s="19"/>
    </row>
    <row r="25" spans="1:6" ht="15" customHeight="1" x14ac:dyDescent="0.2">
      <c r="A25" s="38">
        <f>DATE('Grunddaten &amp; Hinweise'!$B$5,6,19)</f>
        <v>45462</v>
      </c>
      <c r="B25" s="39">
        <v>0</v>
      </c>
      <c r="C25" s="39">
        <v>0</v>
      </c>
      <c r="D25" s="39">
        <v>0</v>
      </c>
      <c r="E25" s="40">
        <f t="shared" si="0"/>
        <v>0</v>
      </c>
      <c r="F25" s="19"/>
    </row>
    <row r="26" spans="1:6" ht="15" customHeight="1" x14ac:dyDescent="0.2">
      <c r="A26" s="38">
        <f>DATE('Grunddaten &amp; Hinweise'!$B$5,6,20)</f>
        <v>45463</v>
      </c>
      <c r="B26" s="39">
        <v>0</v>
      </c>
      <c r="C26" s="39">
        <v>0</v>
      </c>
      <c r="D26" s="39">
        <v>0</v>
      </c>
      <c r="E26" s="40">
        <f t="shared" si="0"/>
        <v>0</v>
      </c>
      <c r="F26" s="19"/>
    </row>
    <row r="27" spans="1:6" ht="15" customHeight="1" x14ac:dyDescent="0.2">
      <c r="A27" s="38">
        <f>DATE('Grunddaten &amp; Hinweise'!$B$5,6,21)</f>
        <v>45464</v>
      </c>
      <c r="B27" s="39">
        <v>0</v>
      </c>
      <c r="C27" s="39">
        <v>0</v>
      </c>
      <c r="D27" s="39">
        <v>0</v>
      </c>
      <c r="E27" s="40">
        <f t="shared" si="0"/>
        <v>0</v>
      </c>
      <c r="F27" s="19"/>
    </row>
    <row r="28" spans="1:6" ht="15" customHeight="1" x14ac:dyDescent="0.2">
      <c r="A28" s="38">
        <f>DATE('Grunddaten &amp; Hinweise'!$B$5,6,22)</f>
        <v>45465</v>
      </c>
      <c r="B28" s="39">
        <v>0</v>
      </c>
      <c r="C28" s="39">
        <v>0</v>
      </c>
      <c r="D28" s="39">
        <v>0</v>
      </c>
      <c r="E28" s="40">
        <f t="shared" si="0"/>
        <v>0</v>
      </c>
      <c r="F28" s="19"/>
    </row>
    <row r="29" spans="1:6" ht="15" customHeight="1" x14ac:dyDescent="0.2">
      <c r="A29" s="38">
        <f>DATE('Grunddaten &amp; Hinweise'!$B$5,6,23)</f>
        <v>45466</v>
      </c>
      <c r="B29" s="39">
        <v>0</v>
      </c>
      <c r="C29" s="39">
        <v>0</v>
      </c>
      <c r="D29" s="39">
        <v>0</v>
      </c>
      <c r="E29" s="40">
        <f t="shared" si="0"/>
        <v>0</v>
      </c>
      <c r="F29" s="19"/>
    </row>
    <row r="30" spans="1:6" ht="15" customHeight="1" x14ac:dyDescent="0.2">
      <c r="A30" s="38">
        <f>DATE('Grunddaten &amp; Hinweise'!$B$5,6,24)</f>
        <v>45467</v>
      </c>
      <c r="B30" s="39">
        <v>0</v>
      </c>
      <c r="C30" s="39">
        <v>0</v>
      </c>
      <c r="D30" s="39">
        <v>0</v>
      </c>
      <c r="E30" s="40">
        <f t="shared" si="0"/>
        <v>0</v>
      </c>
      <c r="F30" s="19"/>
    </row>
    <row r="31" spans="1:6" ht="15" customHeight="1" x14ac:dyDescent="0.2">
      <c r="A31" s="38">
        <f>DATE('Grunddaten &amp; Hinweise'!$B$5,6,25)</f>
        <v>45468</v>
      </c>
      <c r="B31" s="39">
        <v>0</v>
      </c>
      <c r="C31" s="39">
        <v>0</v>
      </c>
      <c r="D31" s="39">
        <v>0</v>
      </c>
      <c r="E31" s="40">
        <f t="shared" si="0"/>
        <v>0</v>
      </c>
      <c r="F31" s="19"/>
    </row>
    <row r="32" spans="1:6" ht="15" customHeight="1" x14ac:dyDescent="0.2">
      <c r="A32" s="38">
        <f>DATE('Grunddaten &amp; Hinweise'!$B$5,6,26)</f>
        <v>45469</v>
      </c>
      <c r="B32" s="39">
        <v>0</v>
      </c>
      <c r="C32" s="39">
        <v>0</v>
      </c>
      <c r="D32" s="39">
        <v>0</v>
      </c>
      <c r="E32" s="40">
        <f t="shared" si="0"/>
        <v>0</v>
      </c>
      <c r="F32" s="19"/>
    </row>
    <row r="33" spans="1:6" ht="15" customHeight="1" x14ac:dyDescent="0.2">
      <c r="A33" s="38">
        <f>DATE('Grunddaten &amp; Hinweise'!$B$5,6,27)</f>
        <v>45470</v>
      </c>
      <c r="B33" s="39">
        <v>0</v>
      </c>
      <c r="C33" s="39">
        <v>0</v>
      </c>
      <c r="D33" s="39">
        <v>0</v>
      </c>
      <c r="E33" s="40">
        <f t="shared" si="0"/>
        <v>0</v>
      </c>
      <c r="F33" s="19"/>
    </row>
    <row r="34" spans="1:6" ht="15" customHeight="1" x14ac:dyDescent="0.2">
      <c r="A34" s="38">
        <f>DATE('Grunddaten &amp; Hinweise'!$B$5,6,28)</f>
        <v>45471</v>
      </c>
      <c r="B34" s="39">
        <v>0</v>
      </c>
      <c r="C34" s="39">
        <v>0</v>
      </c>
      <c r="D34" s="39">
        <v>0</v>
      </c>
      <c r="E34" s="40">
        <f t="shared" si="0"/>
        <v>0</v>
      </c>
      <c r="F34" s="19"/>
    </row>
    <row r="35" spans="1:6" ht="15" customHeight="1" x14ac:dyDescent="0.2">
      <c r="A35" s="38">
        <f>DATE('Grunddaten &amp; Hinweise'!$B$5,6,29)</f>
        <v>45472</v>
      </c>
      <c r="B35" s="39">
        <v>0</v>
      </c>
      <c r="C35" s="39">
        <v>0</v>
      </c>
      <c r="D35" s="39">
        <v>0</v>
      </c>
      <c r="E35" s="40">
        <f t="shared" si="0"/>
        <v>0</v>
      </c>
      <c r="F35" s="19"/>
    </row>
    <row r="36" spans="1:6" ht="15" customHeight="1" x14ac:dyDescent="0.2">
      <c r="A36" s="42">
        <f>DATE('Grunddaten &amp; Hinweise'!$B$5,6,30)</f>
        <v>45473</v>
      </c>
      <c r="B36" s="43">
        <v>0</v>
      </c>
      <c r="C36" s="43">
        <v>0</v>
      </c>
      <c r="D36" s="43">
        <v>0</v>
      </c>
      <c r="E36" s="44">
        <f t="shared" si="0"/>
        <v>0</v>
      </c>
      <c r="F36" s="45"/>
    </row>
    <row r="37" spans="1:6" ht="15" customHeight="1" x14ac:dyDescent="0.2">
      <c r="A37" s="38"/>
      <c r="E37" s="47">
        <f>SUM(E7:E36)</f>
        <v>0</v>
      </c>
    </row>
    <row r="38" spans="1:6" ht="15" customHeight="1" x14ac:dyDescent="0.2">
      <c r="A38" s="38"/>
    </row>
    <row r="39" spans="1:6" ht="15" customHeight="1" thickBot="1" x14ac:dyDescent="0.25"/>
    <row r="40" spans="1:6" ht="15" customHeight="1" thickBot="1" x14ac:dyDescent="0.25">
      <c r="C40" s="4"/>
      <c r="D40" s="48" t="s">
        <v>22</v>
      </c>
      <c r="E40" s="49">
        <f>SUM(E7:E36)*24</f>
        <v>0</v>
      </c>
      <c r="F40" s="2" t="s">
        <v>21</v>
      </c>
    </row>
    <row r="41" spans="1:6" ht="15" customHeight="1" thickBot="1" x14ac:dyDescent="0.25">
      <c r="C41" s="4"/>
      <c r="D41" s="48" t="s">
        <v>23</v>
      </c>
      <c r="E41" s="49">
        <v>0</v>
      </c>
      <c r="F41" s="2" t="s">
        <v>21</v>
      </c>
    </row>
    <row r="42" spans="1:6" ht="15" customHeight="1" thickBot="1" x14ac:dyDescent="0.3">
      <c r="C42" s="4"/>
      <c r="D42" s="53" t="s">
        <v>86</v>
      </c>
      <c r="E42" s="51">
        <f>E40-E41</f>
        <v>0</v>
      </c>
      <c r="F42" s="2" t="s">
        <v>21</v>
      </c>
    </row>
    <row r="43" spans="1:6" ht="15" customHeight="1" x14ac:dyDescent="0.2"/>
    <row r="44" spans="1:6" ht="15" customHeight="1" x14ac:dyDescent="0.2"/>
    <row r="45" spans="1:6" ht="15" customHeight="1" x14ac:dyDescent="0.2">
      <c r="A45" s="4" t="s">
        <v>60</v>
      </c>
      <c r="B45" s="13"/>
      <c r="C45" s="13"/>
      <c r="D45" s="13"/>
    </row>
    <row r="46" spans="1:6" ht="15" customHeight="1" x14ac:dyDescent="0.2"/>
  </sheetData>
  <mergeCells count="4">
    <mergeCell ref="B1:E1"/>
    <mergeCell ref="B2:E2"/>
    <mergeCell ref="B3:E3"/>
    <mergeCell ref="B4:E4"/>
  </mergeCells>
  <conditionalFormatting sqref="A37:A38">
    <cfRule type="expression" dxfId="50" priority="7">
      <formula>OR(WEEKDAY(A36,1)=6,WEEKDAY(A36,1)=7)</formula>
    </cfRule>
  </conditionalFormatting>
  <conditionalFormatting sqref="B7:E36">
    <cfRule type="cellIs" dxfId="49" priority="4" operator="equal">
      <formula>0</formula>
    </cfRule>
  </conditionalFormatting>
  <conditionalFormatting sqref="E37">
    <cfRule type="cellIs" dxfId="48" priority="3" operator="equal">
      <formula>0</formula>
    </cfRule>
  </conditionalFormatting>
  <conditionalFormatting sqref="A7:A36">
    <cfRule type="timePeriod" dxfId="47" priority="1" timePeriod="today">
      <formula>FLOOR(A7,1)=TODAY()</formula>
    </cfRule>
    <cfRule type="expression" dxfId="46" priority="2">
      <formula>OR(WEEKDAY(A7,1)=7,WEEKDAY(A7,1)=1)</formula>
    </cfRule>
  </conditionalFormatting>
  <pageMargins left="0.70866141732283472" right="0.70866141732283472" top="1.2204724409448819" bottom="0.78740157480314965" header="0.6692913385826772" footer="0.31496062992125984"/>
  <pageSetup paperSize="9" orientation="portrait" horizontalDpi="4294967294" r:id="rId1"/>
  <headerFooter>
    <oddHeader>&amp;LStundennachweis über die geleistete Monatsarbeitszeit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theme="6" tint="0.39997558519241921"/>
  </sheetPr>
  <dimension ref="A1:H46"/>
  <sheetViews>
    <sheetView workbookViewId="0">
      <selection activeCell="D42" sqref="D42:E42"/>
    </sheetView>
  </sheetViews>
  <sheetFormatPr baseColWidth="10" defaultColWidth="11.42578125" defaultRowHeight="14.25" x14ac:dyDescent="0.2"/>
  <cols>
    <col min="1" max="1" width="23.5703125" style="2" bestFit="1" customWidth="1"/>
    <col min="2" max="5" width="11.5703125" style="2" bestFit="1" customWidth="1"/>
    <col min="6" max="6" width="19.28515625" style="2" customWidth="1"/>
    <col min="7" max="7" width="4" style="2" customWidth="1"/>
    <col min="8" max="16384" width="11.42578125" style="2"/>
  </cols>
  <sheetData>
    <row r="1" spans="1:8" ht="15" customHeight="1" x14ac:dyDescent="0.25">
      <c r="A1" s="1" t="s">
        <v>2</v>
      </c>
      <c r="B1" s="104" t="str">
        <f>'Grunddaten &amp; Hinweise'!B1</f>
        <v>Max Mustermann</v>
      </c>
      <c r="C1" s="104"/>
      <c r="D1" s="104"/>
      <c r="E1" s="104"/>
      <c r="H1" s="8"/>
    </row>
    <row r="2" spans="1:8" ht="30.2" customHeight="1" x14ac:dyDescent="0.2">
      <c r="A2" s="3" t="s">
        <v>5</v>
      </c>
      <c r="B2" s="101" t="str">
        <f>'Grunddaten &amp; Hinweise'!B2</f>
        <v>Musterinstitut</v>
      </c>
      <c r="C2" s="101"/>
      <c r="D2" s="101"/>
      <c r="E2" s="101"/>
    </row>
    <row r="3" spans="1:8" ht="15" customHeight="1" x14ac:dyDescent="0.2">
      <c r="A3" s="3" t="s">
        <v>6</v>
      </c>
      <c r="B3" s="102" t="str">
        <f>'Grunddaten &amp; Hinweise'!B3</f>
        <v>Max Mustermann</v>
      </c>
      <c r="C3" s="102"/>
      <c r="D3" s="102"/>
      <c r="E3" s="102"/>
      <c r="H3" s="34"/>
    </row>
    <row r="4" spans="1:8" ht="15" customHeight="1" x14ac:dyDescent="0.2">
      <c r="A4" s="3" t="s">
        <v>29</v>
      </c>
      <c r="B4" s="103" t="str">
        <f>'Grunddaten &amp; Hinweise'!B4</f>
        <v>Studentische Hilfskraft</v>
      </c>
      <c r="C4" s="103"/>
      <c r="D4" s="103"/>
      <c r="E4" s="103"/>
    </row>
    <row r="5" spans="1:8" ht="15" customHeight="1" x14ac:dyDescent="0.25">
      <c r="E5" s="35" t="s">
        <v>64</v>
      </c>
    </row>
    <row r="6" spans="1:8" ht="15" customHeight="1" x14ac:dyDescent="0.25">
      <c r="A6" s="24" t="s">
        <v>0</v>
      </c>
      <c r="B6" s="24" t="s">
        <v>58</v>
      </c>
      <c r="C6" s="24" t="s">
        <v>59</v>
      </c>
      <c r="D6" s="24" t="s">
        <v>1</v>
      </c>
      <c r="E6" s="6" t="s">
        <v>65</v>
      </c>
      <c r="F6" s="50" t="s">
        <v>26</v>
      </c>
      <c r="G6" s="41"/>
    </row>
    <row r="7" spans="1:8" ht="15" customHeight="1" x14ac:dyDescent="0.2">
      <c r="A7" s="38">
        <f>DATE('Grunddaten &amp; Hinweise'!$B$5,7,1)</f>
        <v>45474</v>
      </c>
      <c r="B7" s="39">
        <v>0</v>
      </c>
      <c r="C7" s="39">
        <v>0</v>
      </c>
      <c r="D7" s="39">
        <v>0</v>
      </c>
      <c r="E7" s="40">
        <f>C7-B7-D7</f>
        <v>0</v>
      </c>
      <c r="F7" s="19"/>
    </row>
    <row r="8" spans="1:8" ht="15" customHeight="1" x14ac:dyDescent="0.2">
      <c r="A8" s="38">
        <f>DATE('Grunddaten &amp; Hinweise'!$B$5,7,2)</f>
        <v>45475</v>
      </c>
      <c r="B8" s="39">
        <v>0</v>
      </c>
      <c r="C8" s="39">
        <v>0</v>
      </c>
      <c r="D8" s="39">
        <v>0</v>
      </c>
      <c r="E8" s="40">
        <f>C8-B8-D8</f>
        <v>0</v>
      </c>
      <c r="F8" s="19"/>
    </row>
    <row r="9" spans="1:8" ht="15" customHeight="1" x14ac:dyDescent="0.2">
      <c r="A9" s="38">
        <f>DATE('Grunddaten &amp; Hinweise'!$B$5,7,3)</f>
        <v>45476</v>
      </c>
      <c r="B9" s="39">
        <v>0</v>
      </c>
      <c r="C9" s="39">
        <v>0</v>
      </c>
      <c r="D9" s="39">
        <v>0</v>
      </c>
      <c r="E9" s="40">
        <f t="shared" ref="E9:E37" si="0">C9-B9-D9</f>
        <v>0</v>
      </c>
      <c r="F9" s="19"/>
    </row>
    <row r="10" spans="1:8" ht="15" customHeight="1" x14ac:dyDescent="0.2">
      <c r="A10" s="38">
        <f>DATE('Grunddaten &amp; Hinweise'!$B$5,7,4)</f>
        <v>45477</v>
      </c>
      <c r="B10" s="39">
        <v>0</v>
      </c>
      <c r="C10" s="39">
        <v>0</v>
      </c>
      <c r="D10" s="39">
        <v>0</v>
      </c>
      <c r="E10" s="40">
        <f t="shared" si="0"/>
        <v>0</v>
      </c>
      <c r="F10" s="19"/>
    </row>
    <row r="11" spans="1:8" ht="15" customHeight="1" x14ac:dyDescent="0.2">
      <c r="A11" s="38">
        <f>DATE('Grunddaten &amp; Hinweise'!$B$5,7,5)</f>
        <v>45478</v>
      </c>
      <c r="B11" s="39">
        <v>0</v>
      </c>
      <c r="C11" s="39">
        <v>0</v>
      </c>
      <c r="D11" s="39">
        <v>0</v>
      </c>
      <c r="E11" s="40">
        <f t="shared" si="0"/>
        <v>0</v>
      </c>
      <c r="F11" s="19"/>
    </row>
    <row r="12" spans="1:8" ht="15" customHeight="1" x14ac:dyDescent="0.2">
      <c r="A12" s="38">
        <f>DATE('Grunddaten &amp; Hinweise'!$B$5,7,6)</f>
        <v>45479</v>
      </c>
      <c r="B12" s="39">
        <v>0</v>
      </c>
      <c r="C12" s="39">
        <v>0</v>
      </c>
      <c r="D12" s="39">
        <v>0</v>
      </c>
      <c r="E12" s="40">
        <f t="shared" si="0"/>
        <v>0</v>
      </c>
      <c r="F12" s="19"/>
    </row>
    <row r="13" spans="1:8" ht="15" customHeight="1" x14ac:dyDescent="0.2">
      <c r="A13" s="38">
        <f>DATE('Grunddaten &amp; Hinweise'!$B$5,7,7)</f>
        <v>45480</v>
      </c>
      <c r="B13" s="39">
        <v>0</v>
      </c>
      <c r="C13" s="39">
        <v>0</v>
      </c>
      <c r="D13" s="39">
        <v>0</v>
      </c>
      <c r="E13" s="40">
        <f t="shared" si="0"/>
        <v>0</v>
      </c>
      <c r="F13" s="19"/>
    </row>
    <row r="14" spans="1:8" ht="15" customHeight="1" x14ac:dyDescent="0.2">
      <c r="A14" s="38">
        <f>DATE('Grunddaten &amp; Hinweise'!$B$5,7,8)</f>
        <v>45481</v>
      </c>
      <c r="B14" s="39">
        <v>0</v>
      </c>
      <c r="C14" s="39">
        <v>0</v>
      </c>
      <c r="D14" s="39">
        <v>0</v>
      </c>
      <c r="E14" s="40">
        <f t="shared" si="0"/>
        <v>0</v>
      </c>
      <c r="F14" s="19"/>
    </row>
    <row r="15" spans="1:8" ht="15" customHeight="1" x14ac:dyDescent="0.2">
      <c r="A15" s="38">
        <f>DATE('Grunddaten &amp; Hinweise'!$B$5,7,9)</f>
        <v>45482</v>
      </c>
      <c r="B15" s="39">
        <v>0</v>
      </c>
      <c r="C15" s="39">
        <v>0</v>
      </c>
      <c r="D15" s="39">
        <v>0</v>
      </c>
      <c r="E15" s="40">
        <f t="shared" si="0"/>
        <v>0</v>
      </c>
      <c r="F15" s="19"/>
    </row>
    <row r="16" spans="1:8" ht="15" customHeight="1" x14ac:dyDescent="0.2">
      <c r="A16" s="38">
        <f>DATE('Grunddaten &amp; Hinweise'!$B$5,7,10)</f>
        <v>45483</v>
      </c>
      <c r="B16" s="39">
        <v>0</v>
      </c>
      <c r="C16" s="39">
        <v>0</v>
      </c>
      <c r="D16" s="39">
        <v>0</v>
      </c>
      <c r="E16" s="40">
        <f t="shared" si="0"/>
        <v>0</v>
      </c>
      <c r="F16" s="19"/>
    </row>
    <row r="17" spans="1:6" ht="15" customHeight="1" x14ac:dyDescent="0.2">
      <c r="A17" s="38">
        <f>DATE('Grunddaten &amp; Hinweise'!$B$5,7,11)</f>
        <v>45484</v>
      </c>
      <c r="B17" s="39">
        <v>0</v>
      </c>
      <c r="C17" s="39">
        <v>0</v>
      </c>
      <c r="D17" s="39">
        <v>0</v>
      </c>
      <c r="E17" s="40">
        <f t="shared" si="0"/>
        <v>0</v>
      </c>
      <c r="F17" s="19"/>
    </row>
    <row r="18" spans="1:6" ht="15" customHeight="1" x14ac:dyDescent="0.2">
      <c r="A18" s="38">
        <f>DATE('Grunddaten &amp; Hinweise'!$B$5,7,12)</f>
        <v>45485</v>
      </c>
      <c r="B18" s="39">
        <v>0</v>
      </c>
      <c r="C18" s="39">
        <v>0</v>
      </c>
      <c r="D18" s="39">
        <v>0</v>
      </c>
      <c r="E18" s="40">
        <f t="shared" si="0"/>
        <v>0</v>
      </c>
      <c r="F18" s="19"/>
    </row>
    <row r="19" spans="1:6" ht="15" customHeight="1" x14ac:dyDescent="0.2">
      <c r="A19" s="38">
        <f>DATE('Grunddaten &amp; Hinweise'!$B$5,7,13)</f>
        <v>45486</v>
      </c>
      <c r="B19" s="39">
        <v>0</v>
      </c>
      <c r="C19" s="39">
        <v>0</v>
      </c>
      <c r="D19" s="39">
        <v>0</v>
      </c>
      <c r="E19" s="40">
        <f t="shared" si="0"/>
        <v>0</v>
      </c>
      <c r="F19" s="19"/>
    </row>
    <row r="20" spans="1:6" ht="15" customHeight="1" x14ac:dyDescent="0.2">
      <c r="A20" s="38">
        <f>DATE('Grunddaten &amp; Hinweise'!$B$5,7,14)</f>
        <v>45487</v>
      </c>
      <c r="B20" s="39">
        <v>0</v>
      </c>
      <c r="C20" s="39">
        <v>0</v>
      </c>
      <c r="D20" s="39">
        <v>0</v>
      </c>
      <c r="E20" s="40">
        <f t="shared" si="0"/>
        <v>0</v>
      </c>
      <c r="F20" s="19"/>
    </row>
    <row r="21" spans="1:6" ht="15" customHeight="1" x14ac:dyDescent="0.2">
      <c r="A21" s="38">
        <f>DATE('Grunddaten &amp; Hinweise'!$B$5,7,15)</f>
        <v>45488</v>
      </c>
      <c r="B21" s="39">
        <v>0</v>
      </c>
      <c r="C21" s="39">
        <v>0</v>
      </c>
      <c r="D21" s="39">
        <v>0</v>
      </c>
      <c r="E21" s="40">
        <f t="shared" si="0"/>
        <v>0</v>
      </c>
      <c r="F21" s="19"/>
    </row>
    <row r="22" spans="1:6" ht="15" customHeight="1" x14ac:dyDescent="0.2">
      <c r="A22" s="38">
        <f>DATE('Grunddaten &amp; Hinweise'!$B$5,7,16)</f>
        <v>45489</v>
      </c>
      <c r="B22" s="39">
        <v>0</v>
      </c>
      <c r="C22" s="39">
        <v>0</v>
      </c>
      <c r="D22" s="39">
        <v>0</v>
      </c>
      <c r="E22" s="40">
        <f t="shared" si="0"/>
        <v>0</v>
      </c>
      <c r="F22" s="19"/>
    </row>
    <row r="23" spans="1:6" ht="15" customHeight="1" x14ac:dyDescent="0.2">
      <c r="A23" s="38">
        <f>DATE('Grunddaten &amp; Hinweise'!$B$5,7,17)</f>
        <v>45490</v>
      </c>
      <c r="B23" s="39">
        <v>0</v>
      </c>
      <c r="C23" s="39">
        <v>0</v>
      </c>
      <c r="D23" s="39">
        <v>0</v>
      </c>
      <c r="E23" s="40">
        <f t="shared" si="0"/>
        <v>0</v>
      </c>
      <c r="F23" s="19"/>
    </row>
    <row r="24" spans="1:6" ht="15" customHeight="1" x14ac:dyDescent="0.2">
      <c r="A24" s="38">
        <f>DATE('Grunddaten &amp; Hinweise'!$B$5,7,18)</f>
        <v>45491</v>
      </c>
      <c r="B24" s="39">
        <v>0</v>
      </c>
      <c r="C24" s="39">
        <v>0</v>
      </c>
      <c r="D24" s="39">
        <v>0</v>
      </c>
      <c r="E24" s="40">
        <f t="shared" si="0"/>
        <v>0</v>
      </c>
      <c r="F24" s="19"/>
    </row>
    <row r="25" spans="1:6" ht="15" customHeight="1" x14ac:dyDescent="0.2">
      <c r="A25" s="38">
        <f>DATE('Grunddaten &amp; Hinweise'!$B$5,7,19)</f>
        <v>45492</v>
      </c>
      <c r="B25" s="39">
        <v>0</v>
      </c>
      <c r="C25" s="39">
        <v>0</v>
      </c>
      <c r="D25" s="39">
        <v>0</v>
      </c>
      <c r="E25" s="40">
        <f t="shared" si="0"/>
        <v>0</v>
      </c>
      <c r="F25" s="19"/>
    </row>
    <row r="26" spans="1:6" ht="15" customHeight="1" x14ac:dyDescent="0.2">
      <c r="A26" s="38">
        <f>DATE('Grunddaten &amp; Hinweise'!$B$5,7,20)</f>
        <v>45493</v>
      </c>
      <c r="B26" s="39">
        <v>0</v>
      </c>
      <c r="C26" s="39">
        <v>0</v>
      </c>
      <c r="D26" s="39">
        <v>0</v>
      </c>
      <c r="E26" s="40">
        <f t="shared" si="0"/>
        <v>0</v>
      </c>
      <c r="F26" s="19"/>
    </row>
    <row r="27" spans="1:6" ht="15" customHeight="1" x14ac:dyDescent="0.2">
      <c r="A27" s="38">
        <f>DATE('Grunddaten &amp; Hinweise'!$B$5,7,21)</f>
        <v>45494</v>
      </c>
      <c r="B27" s="39">
        <v>0</v>
      </c>
      <c r="C27" s="39">
        <v>0</v>
      </c>
      <c r="D27" s="39">
        <v>0</v>
      </c>
      <c r="E27" s="40">
        <f t="shared" si="0"/>
        <v>0</v>
      </c>
      <c r="F27" s="19"/>
    </row>
    <row r="28" spans="1:6" ht="15" customHeight="1" x14ac:dyDescent="0.2">
      <c r="A28" s="38">
        <f>DATE('Grunddaten &amp; Hinweise'!$B$5,7,22)</f>
        <v>45495</v>
      </c>
      <c r="B28" s="39">
        <v>0</v>
      </c>
      <c r="C28" s="39">
        <v>0</v>
      </c>
      <c r="D28" s="39">
        <v>0</v>
      </c>
      <c r="E28" s="40">
        <f t="shared" si="0"/>
        <v>0</v>
      </c>
      <c r="F28" s="19"/>
    </row>
    <row r="29" spans="1:6" ht="15" customHeight="1" x14ac:dyDescent="0.2">
      <c r="A29" s="38">
        <f>DATE('Grunddaten &amp; Hinweise'!$B$5,7,23)</f>
        <v>45496</v>
      </c>
      <c r="B29" s="39">
        <v>0</v>
      </c>
      <c r="C29" s="39">
        <v>0</v>
      </c>
      <c r="D29" s="39">
        <v>0</v>
      </c>
      <c r="E29" s="40">
        <f t="shared" si="0"/>
        <v>0</v>
      </c>
      <c r="F29" s="19"/>
    </row>
    <row r="30" spans="1:6" ht="15" customHeight="1" x14ac:dyDescent="0.2">
      <c r="A30" s="38">
        <f>DATE('Grunddaten &amp; Hinweise'!$B$5,7,24)</f>
        <v>45497</v>
      </c>
      <c r="B30" s="39">
        <v>0</v>
      </c>
      <c r="C30" s="39">
        <v>0</v>
      </c>
      <c r="D30" s="39">
        <v>0</v>
      </c>
      <c r="E30" s="40">
        <f t="shared" si="0"/>
        <v>0</v>
      </c>
      <c r="F30" s="19"/>
    </row>
    <row r="31" spans="1:6" ht="15" customHeight="1" x14ac:dyDescent="0.2">
      <c r="A31" s="38">
        <f>DATE('Grunddaten &amp; Hinweise'!$B$5,7,25)</f>
        <v>45498</v>
      </c>
      <c r="B31" s="39">
        <v>0</v>
      </c>
      <c r="C31" s="39">
        <v>0</v>
      </c>
      <c r="D31" s="39">
        <v>0</v>
      </c>
      <c r="E31" s="40">
        <f t="shared" si="0"/>
        <v>0</v>
      </c>
      <c r="F31" s="19"/>
    </row>
    <row r="32" spans="1:6" ht="15" customHeight="1" x14ac:dyDescent="0.2">
      <c r="A32" s="38">
        <f>DATE('Grunddaten &amp; Hinweise'!$B$5,7,26)</f>
        <v>45499</v>
      </c>
      <c r="B32" s="39">
        <v>0</v>
      </c>
      <c r="C32" s="39">
        <v>0</v>
      </c>
      <c r="D32" s="39">
        <v>0</v>
      </c>
      <c r="E32" s="40">
        <f t="shared" si="0"/>
        <v>0</v>
      </c>
      <c r="F32" s="19"/>
    </row>
    <row r="33" spans="1:6" ht="15" customHeight="1" x14ac:dyDescent="0.2">
      <c r="A33" s="38">
        <f>DATE('Grunddaten &amp; Hinweise'!$B$5,7,27)</f>
        <v>45500</v>
      </c>
      <c r="B33" s="39">
        <v>0</v>
      </c>
      <c r="C33" s="39">
        <v>0</v>
      </c>
      <c r="D33" s="39">
        <v>0</v>
      </c>
      <c r="E33" s="40">
        <f t="shared" si="0"/>
        <v>0</v>
      </c>
      <c r="F33" s="19"/>
    </row>
    <row r="34" spans="1:6" ht="15" customHeight="1" x14ac:dyDescent="0.2">
      <c r="A34" s="38">
        <f>DATE('Grunddaten &amp; Hinweise'!$B$5,7,28)</f>
        <v>45501</v>
      </c>
      <c r="B34" s="39">
        <v>0</v>
      </c>
      <c r="C34" s="39">
        <v>0</v>
      </c>
      <c r="D34" s="39">
        <v>0</v>
      </c>
      <c r="E34" s="40">
        <f t="shared" si="0"/>
        <v>0</v>
      </c>
      <c r="F34" s="19"/>
    </row>
    <row r="35" spans="1:6" ht="15" customHeight="1" x14ac:dyDescent="0.2">
      <c r="A35" s="38">
        <f>DATE('Grunddaten &amp; Hinweise'!$B$5,7,29)</f>
        <v>45502</v>
      </c>
      <c r="B35" s="39">
        <v>0</v>
      </c>
      <c r="C35" s="39">
        <v>0</v>
      </c>
      <c r="D35" s="39">
        <v>0</v>
      </c>
      <c r="E35" s="40">
        <f t="shared" si="0"/>
        <v>0</v>
      </c>
      <c r="F35" s="19"/>
    </row>
    <row r="36" spans="1:6" ht="15" customHeight="1" x14ac:dyDescent="0.2">
      <c r="A36" s="38">
        <f>DATE('Grunddaten &amp; Hinweise'!$B$5,7,30)</f>
        <v>45503</v>
      </c>
      <c r="B36" s="39">
        <v>0</v>
      </c>
      <c r="C36" s="39">
        <v>0</v>
      </c>
      <c r="D36" s="39">
        <v>0</v>
      </c>
      <c r="E36" s="40">
        <f t="shared" si="0"/>
        <v>0</v>
      </c>
      <c r="F36" s="19"/>
    </row>
    <row r="37" spans="1:6" ht="15" customHeight="1" x14ac:dyDescent="0.2">
      <c r="A37" s="42">
        <f>DATE('Grunddaten &amp; Hinweise'!$B$5,7,31)</f>
        <v>45504</v>
      </c>
      <c r="B37" s="43">
        <v>0</v>
      </c>
      <c r="C37" s="43">
        <v>0</v>
      </c>
      <c r="D37" s="43">
        <v>0</v>
      </c>
      <c r="E37" s="44">
        <f t="shared" si="0"/>
        <v>0</v>
      </c>
      <c r="F37" s="45"/>
    </row>
    <row r="38" spans="1:6" ht="15" customHeight="1" x14ac:dyDescent="0.2">
      <c r="A38" s="38"/>
      <c r="B38" s="46"/>
      <c r="C38" s="46"/>
      <c r="D38" s="46"/>
      <c r="E38" s="47">
        <f>SUM(E7:E37)</f>
        <v>0</v>
      </c>
    </row>
    <row r="39" spans="1:6" ht="15" customHeight="1" thickBot="1" x14ac:dyDescent="0.25"/>
    <row r="40" spans="1:6" ht="15" customHeight="1" thickBot="1" x14ac:dyDescent="0.25">
      <c r="C40" s="4"/>
      <c r="D40" s="48" t="s">
        <v>22</v>
      </c>
      <c r="E40" s="49">
        <f>SUM(E7:E37)*24</f>
        <v>0</v>
      </c>
      <c r="F40" s="2" t="s">
        <v>21</v>
      </c>
    </row>
    <row r="41" spans="1:6" ht="15" customHeight="1" thickBot="1" x14ac:dyDescent="0.25">
      <c r="C41" s="4"/>
      <c r="D41" s="48" t="s">
        <v>23</v>
      </c>
      <c r="E41" s="49">
        <f>'Grunddaten &amp; Hinweise'!B14</f>
        <v>0</v>
      </c>
      <c r="F41" s="2" t="s">
        <v>21</v>
      </c>
    </row>
    <row r="42" spans="1:6" ht="15" customHeight="1" thickBot="1" x14ac:dyDescent="0.3">
      <c r="C42" s="4"/>
      <c r="D42" s="53" t="s">
        <v>86</v>
      </c>
      <c r="E42" s="51">
        <f>E40-E41</f>
        <v>0</v>
      </c>
      <c r="F42" s="2" t="s">
        <v>21</v>
      </c>
    </row>
    <row r="43" spans="1:6" ht="15" customHeight="1" x14ac:dyDescent="0.2"/>
    <row r="44" spans="1:6" ht="15" customHeight="1" x14ac:dyDescent="0.2"/>
    <row r="45" spans="1:6" ht="15" customHeight="1" x14ac:dyDescent="0.2">
      <c r="A45" s="4" t="s">
        <v>60</v>
      </c>
      <c r="B45" s="13"/>
      <c r="C45" s="13"/>
      <c r="D45" s="13"/>
    </row>
    <row r="46" spans="1:6" ht="15" customHeight="1" x14ac:dyDescent="0.2"/>
  </sheetData>
  <mergeCells count="4">
    <mergeCell ref="B1:E1"/>
    <mergeCell ref="B2:E2"/>
    <mergeCell ref="B3:E3"/>
    <mergeCell ref="B4:E4"/>
  </mergeCells>
  <conditionalFormatting sqref="A38">
    <cfRule type="timePeriod" dxfId="45" priority="7" timePeriod="today">
      <formula>FLOOR(A38,1)=TODAY()</formula>
    </cfRule>
    <cfRule type="expression" dxfId="44" priority="8">
      <formula>OR(WEEKDAY(A38,1)=7,WEEKDAY(A38,1)=1)</formula>
    </cfRule>
  </conditionalFormatting>
  <conditionalFormatting sqref="B7:E37 B38:D38">
    <cfRule type="cellIs" dxfId="43" priority="6" operator="equal">
      <formula>0</formula>
    </cfRule>
  </conditionalFormatting>
  <conditionalFormatting sqref="E38">
    <cfRule type="cellIs" dxfId="42" priority="5" operator="equal">
      <formula>0</formula>
    </cfRule>
  </conditionalFormatting>
  <conditionalFormatting sqref="A7:A37">
    <cfRule type="timePeriod" dxfId="41" priority="1" timePeriod="today">
      <formula>FLOOR(A7,1)=TODAY()</formula>
    </cfRule>
    <cfRule type="expression" dxfId="40" priority="2">
      <formula>OR(WEEKDAY(A7,1)=7,WEEKDAY(A7,1)=1)</formula>
    </cfRule>
  </conditionalFormatting>
  <pageMargins left="0.70866141732283472" right="0.70866141732283472" top="1.2204724409448819" bottom="0.78740157480314965" header="0.6692913385826772" footer="0.31496062992125984"/>
  <pageSetup paperSize="9" orientation="portrait" horizontalDpi="4294967294" r:id="rId1"/>
  <headerFooter>
    <oddHeader>&amp;LStundennachweis über die geleistete Monatsarbeitszeit</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15</vt:i4>
      </vt:variant>
    </vt:vector>
  </HeadingPairs>
  <TitlesOfParts>
    <vt:vector size="29" baseType="lpstr">
      <vt:lpstr>Grunddaten &amp; Hinweise</vt:lpstr>
      <vt:lpstr>Gesamtübersicht&amp;Urlaubsanspruch</vt:lpstr>
      <vt:lpstr>Januar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Dezember!Druckbereich</vt:lpstr>
      <vt:lpstr>Februar!Druckbereich</vt:lpstr>
      <vt:lpstr>'Gesamtübersicht&amp;Urlaubsanspruch'!Druckbereich</vt:lpstr>
      <vt:lpstr>'Grunddaten &amp; Hinweise'!Druckbereich</vt:lpstr>
      <vt:lpstr>Januar!Druckbereich</vt:lpstr>
      <vt:lpstr>Juli!Druckbereich</vt:lpstr>
      <vt:lpstr>Juni!Druckbereich</vt:lpstr>
      <vt:lpstr>Mai!Druckbereich</vt:lpstr>
      <vt:lpstr>März!Druckbereich</vt:lpstr>
      <vt:lpstr>November!Druckbereich</vt:lpstr>
      <vt:lpstr>Oktober!Druckbereich</vt:lpstr>
      <vt:lpstr>September!Druckbereich</vt:lpstr>
      <vt:lpstr>Monat</vt:lpstr>
    </vt:vector>
  </TitlesOfParts>
  <Company>Philipps-Universität Marburg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Monatsarbeitszeit</dc:title>
  <dc:subject>Hilfskräfte</dc:subject>
  <dc:creator>Referat Personal</dc:creator>
  <cp:lastModifiedBy>Hälke-Plath, Eva</cp:lastModifiedBy>
  <cp:lastPrinted>2023-07-17T08:32:15Z</cp:lastPrinted>
  <dcterms:created xsi:type="dcterms:W3CDTF">2015-01-14T14:02:33Z</dcterms:created>
  <dcterms:modified xsi:type="dcterms:W3CDTF">2024-01-26T10:17:07Z</dcterms:modified>
  <cp:contentStatus/>
</cp:coreProperties>
</file>